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aimee_weldon_fws_gov/Documents/ACJV/Management Board/Spring 2020/"/>
    </mc:Choice>
  </mc:AlternateContent>
  <bookViews>
    <workbookView xWindow="-105" yWindow="-105" windowWidth="19425" windowHeight="10425"/>
  </bookViews>
  <sheets>
    <sheet name="FY19 to FY22" sheetId="5" r:id="rId1"/>
    <sheet name="NOTES" sheetId="6" r:id="rId2"/>
    <sheet name="FY16 Projections detail" sheetId="7" state="hidden" r:id="rId3"/>
    <sheet name="FY17-18 Projections Summaries" sheetId="8" state="hidden" r:id="rId4"/>
  </sheets>
  <externalReferences>
    <externalReference r:id="rId5"/>
    <externalReference r:id="rId6"/>
  </externalReferences>
  <definedNames>
    <definedName name="Action">#REF!</definedName>
    <definedName name="_xlnm.Print_Area" localSheetId="0">'FY19 to FY22'!$A$1:$G$36</definedName>
    <definedName name="_xlnm.Print_Titles" localSheetId="2">'FY16 Projections detail'!$1:$2</definedName>
    <definedName name="_xlnm.Print_Titles" localSheetId="3">'FY17-18 Projections Summaries'!$1:$2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5" l="1"/>
  <c r="H34" i="5" s="1"/>
  <c r="H7" i="5"/>
  <c r="G34" i="5"/>
  <c r="G28" i="5"/>
  <c r="H8" i="5"/>
  <c r="G2" i="5"/>
  <c r="H2" i="5" s="1"/>
  <c r="G10" i="5" l="1"/>
  <c r="H10" i="5"/>
  <c r="E8" i="5"/>
  <c r="E7" i="5"/>
  <c r="B6" i="5"/>
  <c r="B7" i="5"/>
  <c r="B10" i="5"/>
  <c r="B28" i="5"/>
  <c r="C28" i="5" s="1"/>
  <c r="C6" i="5"/>
  <c r="C10" i="5"/>
  <c r="D10" i="5"/>
  <c r="D28" i="5" l="1"/>
  <c r="E28" i="5" s="1"/>
  <c r="E10" i="5"/>
  <c r="F10" i="5"/>
  <c r="B34" i="5"/>
  <c r="B36" i="5" s="1"/>
  <c r="C34" i="5"/>
  <c r="C36" i="5" s="1"/>
  <c r="D6" i="5" s="1"/>
  <c r="F28" i="5" l="1"/>
  <c r="F34" i="5" s="1"/>
  <c r="E34" i="5"/>
  <c r="D34" i="5"/>
  <c r="D36" i="5" s="1"/>
  <c r="E6" i="5" s="1"/>
  <c r="E36" i="5" s="1"/>
  <c r="F6" i="5" s="1"/>
  <c r="E119" i="7"/>
  <c r="D119" i="7"/>
  <c r="C119" i="7"/>
  <c r="B118" i="7"/>
  <c r="B117" i="7"/>
  <c r="B116" i="7"/>
  <c r="B115" i="7"/>
  <c r="B114" i="7"/>
  <c r="B113" i="7"/>
  <c r="B112" i="7"/>
  <c r="B111" i="7"/>
  <c r="B110" i="7"/>
  <c r="B109" i="7"/>
  <c r="B108" i="7"/>
  <c r="B105" i="7"/>
  <c r="B104" i="7"/>
  <c r="B103" i="7"/>
  <c r="B102" i="7"/>
  <c r="B101" i="7"/>
  <c r="B100" i="7"/>
  <c r="B99" i="7"/>
  <c r="B98" i="7"/>
  <c r="B97" i="7"/>
  <c r="B96" i="7"/>
  <c r="B95" i="7"/>
  <c r="F91" i="7"/>
  <c r="E91" i="7"/>
  <c r="B90" i="7"/>
  <c r="B89" i="7"/>
  <c r="B88" i="7"/>
  <c r="B85" i="7"/>
  <c r="B84" i="7"/>
  <c r="B83" i="7"/>
  <c r="B82" i="7"/>
  <c r="B81" i="7"/>
  <c r="B80" i="7"/>
  <c r="B79" i="7"/>
  <c r="B78" i="7"/>
  <c r="B77" i="7"/>
  <c r="B76" i="7"/>
  <c r="D75" i="7"/>
  <c r="B75" i="7" s="1"/>
  <c r="B74" i="7"/>
  <c r="B73" i="7"/>
  <c r="B72" i="7"/>
  <c r="B71" i="7"/>
  <c r="D70" i="7"/>
  <c r="D91" i="7" s="1"/>
  <c r="C70" i="7"/>
  <c r="C91" i="7" s="1"/>
  <c r="B66" i="7"/>
  <c r="B65" i="7"/>
  <c r="B64" i="7"/>
  <c r="F60" i="7"/>
  <c r="E60" i="7"/>
  <c r="D60" i="7"/>
  <c r="C60" i="7"/>
  <c r="B59" i="7"/>
  <c r="B58" i="7"/>
  <c r="B57" i="7"/>
  <c r="B56" i="7"/>
  <c r="B54" i="7"/>
  <c r="B53" i="7"/>
  <c r="B52" i="7"/>
  <c r="B51" i="7"/>
  <c r="B50" i="7"/>
  <c r="B49" i="7"/>
  <c r="B48" i="7"/>
  <c r="B47" i="7"/>
  <c r="F41" i="7"/>
  <c r="D41" i="7"/>
  <c r="C41" i="7"/>
  <c r="E40" i="7"/>
  <c r="B40" i="7" s="1"/>
  <c r="E39" i="7"/>
  <c r="E38" i="7"/>
  <c r="E41" i="7" s="1"/>
  <c r="B36" i="7"/>
  <c r="F35" i="7"/>
  <c r="E35" i="7"/>
  <c r="D35" i="7"/>
  <c r="C35" i="7"/>
  <c r="B34" i="7"/>
  <c r="B32" i="7"/>
  <c r="B31" i="7"/>
  <c r="B30" i="7"/>
  <c r="B29" i="7"/>
  <c r="F28" i="7"/>
  <c r="E28" i="7"/>
  <c r="D28" i="7"/>
  <c r="B27" i="7"/>
  <c r="B25" i="7"/>
  <c r="B24" i="7"/>
  <c r="B23" i="7"/>
  <c r="B22" i="7"/>
  <c r="B21" i="7"/>
  <c r="B20" i="7"/>
  <c r="B19" i="7"/>
  <c r="C18" i="7"/>
  <c r="C28" i="7" s="1"/>
  <c r="B17" i="7"/>
  <c r="B16" i="7"/>
  <c r="B15" i="7"/>
  <c r="F14" i="7"/>
  <c r="C14" i="7"/>
  <c r="E13" i="7"/>
  <c r="E14" i="7" s="1"/>
  <c r="D12" i="7"/>
  <c r="B12" i="7" s="1"/>
  <c r="B9" i="7"/>
  <c r="B8" i="7"/>
  <c r="B7" i="7"/>
  <c r="B6" i="7"/>
  <c r="B4" i="7"/>
  <c r="F3" i="7"/>
  <c r="F10" i="7" s="1"/>
  <c r="E3" i="7"/>
  <c r="E62" i="7" s="1"/>
  <c r="E67" i="7" s="1"/>
  <c r="D3" i="7"/>
  <c r="D62" i="7" s="1"/>
  <c r="D67" i="7" s="1"/>
  <c r="C3" i="7"/>
  <c r="F43" i="7" l="1"/>
  <c r="F44" i="7" s="1"/>
  <c r="C43" i="7"/>
  <c r="C44" i="7" s="1"/>
  <c r="D10" i="7"/>
  <c r="F45" i="7"/>
  <c r="E10" i="7"/>
  <c r="B13" i="7"/>
  <c r="B38" i="7"/>
  <c r="B70" i="7"/>
  <c r="B129" i="7"/>
  <c r="E43" i="7"/>
  <c r="E44" i="7" s="1"/>
  <c r="E45" i="7"/>
  <c r="E92" i="7" s="1"/>
  <c r="E120" i="7" s="1"/>
  <c r="F62" i="7"/>
  <c r="F67" i="7" s="1"/>
  <c r="F68" i="7" s="1"/>
  <c r="C62" i="7"/>
  <c r="D14" i="7"/>
  <c r="B3" i="7"/>
  <c r="C10" i="7"/>
  <c r="C45" i="7" s="1"/>
  <c r="B18" i="7"/>
  <c r="E68" i="7" l="1"/>
  <c r="D43" i="7"/>
  <c r="C67" i="7"/>
  <c r="C68" i="7" s="1"/>
  <c r="F92" i="7"/>
  <c r="D44" i="7" l="1"/>
  <c r="D45" i="7"/>
  <c r="D92" i="7" s="1"/>
  <c r="D120" i="7" s="1"/>
  <c r="D68" i="7"/>
  <c r="F94" i="7"/>
  <c r="C92" i="7"/>
  <c r="C120" i="7" s="1"/>
  <c r="F119" i="7" l="1"/>
  <c r="F120" i="7" s="1"/>
  <c r="B94" i="7"/>
  <c r="L75" i="8" l="1"/>
  <c r="M75" i="8" s="1"/>
  <c r="L76" i="8"/>
  <c r="M76" i="8"/>
  <c r="M77" i="8"/>
  <c r="M5" i="8" l="1"/>
  <c r="P87" i="8"/>
  <c r="O87" i="8"/>
  <c r="N87" i="8"/>
  <c r="K87" i="8"/>
  <c r="H87" i="8"/>
  <c r="J87" i="8" s="1"/>
  <c r="E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P79" i="8"/>
  <c r="O79" i="8"/>
  <c r="N79" i="8"/>
  <c r="K79" i="8"/>
  <c r="H79" i="8"/>
  <c r="E79" i="8"/>
  <c r="L78" i="8"/>
  <c r="M78" i="8" s="1"/>
  <c r="J78" i="8"/>
  <c r="I78" i="8"/>
  <c r="G78" i="8"/>
  <c r="F78" i="8"/>
  <c r="B78" i="8"/>
  <c r="J77" i="8"/>
  <c r="I77" i="8"/>
  <c r="G77" i="8"/>
  <c r="D77" i="8" s="1"/>
  <c r="F77" i="8"/>
  <c r="B77" i="8"/>
  <c r="D76" i="8"/>
  <c r="C76" i="8"/>
  <c r="B76" i="8"/>
  <c r="J75" i="8"/>
  <c r="I75" i="8"/>
  <c r="G75" i="8"/>
  <c r="D75" i="8" s="1"/>
  <c r="F75" i="8"/>
  <c r="C75" i="8" s="1"/>
  <c r="B75" i="8"/>
  <c r="L74" i="8"/>
  <c r="M74" i="8" s="1"/>
  <c r="J74" i="8"/>
  <c r="I74" i="8"/>
  <c r="G74" i="8"/>
  <c r="F74" i="8"/>
  <c r="B74" i="8"/>
  <c r="L73" i="8"/>
  <c r="M73" i="8" s="1"/>
  <c r="J73" i="8"/>
  <c r="I73" i="8"/>
  <c r="G73" i="8"/>
  <c r="F73" i="8"/>
  <c r="B73" i="8"/>
  <c r="L72" i="8"/>
  <c r="M72" i="8" s="1"/>
  <c r="J72" i="8"/>
  <c r="I72" i="8"/>
  <c r="G72" i="8"/>
  <c r="F72" i="8"/>
  <c r="C72" i="8" s="1"/>
  <c r="B72" i="8"/>
  <c r="L71" i="8"/>
  <c r="M71" i="8" s="1"/>
  <c r="J71" i="8"/>
  <c r="I71" i="8"/>
  <c r="C71" i="8" s="1"/>
  <c r="G71" i="8"/>
  <c r="D71" i="8" s="1"/>
  <c r="F71" i="8"/>
  <c r="B71" i="8"/>
  <c r="L70" i="8"/>
  <c r="M70" i="8" s="1"/>
  <c r="J70" i="8"/>
  <c r="I70" i="8"/>
  <c r="G70" i="8"/>
  <c r="F70" i="8"/>
  <c r="C70" i="8" s="1"/>
  <c r="B70" i="8"/>
  <c r="L69" i="8"/>
  <c r="M69" i="8" s="1"/>
  <c r="J69" i="8"/>
  <c r="I69" i="8"/>
  <c r="G69" i="8"/>
  <c r="F69" i="8"/>
  <c r="C69" i="8" s="1"/>
  <c r="B69" i="8"/>
  <c r="L68" i="8"/>
  <c r="M68" i="8" s="1"/>
  <c r="J68" i="8"/>
  <c r="I68" i="8"/>
  <c r="G68" i="8"/>
  <c r="F68" i="8"/>
  <c r="C68" i="8" s="1"/>
  <c r="B68" i="8"/>
  <c r="L67" i="8"/>
  <c r="M67" i="8" s="1"/>
  <c r="D67" i="8" s="1"/>
  <c r="J67" i="8"/>
  <c r="I67" i="8"/>
  <c r="G67" i="8"/>
  <c r="F67" i="8"/>
  <c r="B67" i="8"/>
  <c r="L66" i="8"/>
  <c r="M66" i="8" s="1"/>
  <c r="J66" i="8"/>
  <c r="I66" i="8"/>
  <c r="G66" i="8"/>
  <c r="F66" i="8"/>
  <c r="B66" i="8"/>
  <c r="L65" i="8"/>
  <c r="M65" i="8" s="1"/>
  <c r="J65" i="8"/>
  <c r="I65" i="8"/>
  <c r="G65" i="8"/>
  <c r="F65" i="8"/>
  <c r="B65" i="8"/>
  <c r="L64" i="8"/>
  <c r="M64" i="8" s="1"/>
  <c r="J64" i="8"/>
  <c r="I64" i="8"/>
  <c r="C64" i="8" s="1"/>
  <c r="G64" i="8"/>
  <c r="F64" i="8"/>
  <c r="B64" i="8"/>
  <c r="L63" i="8"/>
  <c r="M63" i="8" s="1"/>
  <c r="J63" i="8"/>
  <c r="I63" i="8"/>
  <c r="G63" i="8"/>
  <c r="D63" i="8" s="1"/>
  <c r="F63" i="8"/>
  <c r="B63" i="8"/>
  <c r="L62" i="8"/>
  <c r="M62" i="8" s="1"/>
  <c r="J62" i="8"/>
  <c r="D62" i="8" s="1"/>
  <c r="I62" i="8"/>
  <c r="G62" i="8"/>
  <c r="F62" i="8"/>
  <c r="C62" i="8" s="1"/>
  <c r="B62" i="8"/>
  <c r="L61" i="8"/>
  <c r="M61" i="8" s="1"/>
  <c r="J61" i="8"/>
  <c r="I61" i="8"/>
  <c r="G61" i="8"/>
  <c r="F61" i="8"/>
  <c r="D61" i="8"/>
  <c r="B61" i="8"/>
  <c r="L60" i="8"/>
  <c r="M60" i="8" s="1"/>
  <c r="J60" i="8"/>
  <c r="I60" i="8"/>
  <c r="G60" i="8"/>
  <c r="F60" i="8"/>
  <c r="B60" i="8"/>
  <c r="L59" i="8"/>
  <c r="M59" i="8" s="1"/>
  <c r="J59" i="8"/>
  <c r="D59" i="8" s="1"/>
  <c r="I59" i="8"/>
  <c r="G59" i="8"/>
  <c r="F59" i="8"/>
  <c r="C59" i="8" s="1"/>
  <c r="B59" i="8"/>
  <c r="P57" i="8"/>
  <c r="O57" i="8"/>
  <c r="N57" i="8"/>
  <c r="K57" i="8"/>
  <c r="J57" i="8"/>
  <c r="I57" i="8"/>
  <c r="H57" i="8"/>
  <c r="E57" i="8"/>
  <c r="L55" i="8"/>
  <c r="L57" i="8" s="1"/>
  <c r="G55" i="8"/>
  <c r="F55" i="8"/>
  <c r="F57" i="8" s="1"/>
  <c r="B55" i="8"/>
  <c r="B57" i="8" s="1"/>
  <c r="P51" i="8"/>
  <c r="O51" i="8"/>
  <c r="K51" i="8"/>
  <c r="L50" i="8"/>
  <c r="M50" i="8" s="1"/>
  <c r="J50" i="8"/>
  <c r="I50" i="8"/>
  <c r="F50" i="8"/>
  <c r="G50" i="8" s="1"/>
  <c r="B50" i="8"/>
  <c r="L49" i="8"/>
  <c r="M49" i="8" s="1"/>
  <c r="I49" i="8"/>
  <c r="J49" i="8" s="1"/>
  <c r="F49" i="8"/>
  <c r="G49" i="8" s="1"/>
  <c r="B49" i="8"/>
  <c r="L48" i="8"/>
  <c r="M48" i="8" s="1"/>
  <c r="I48" i="8"/>
  <c r="J48" i="8" s="1"/>
  <c r="F48" i="8"/>
  <c r="C48" i="8" s="1"/>
  <c r="B48" i="8"/>
  <c r="L47" i="8"/>
  <c r="M47" i="8" s="1"/>
  <c r="I47" i="8"/>
  <c r="J47" i="8" s="1"/>
  <c r="F47" i="8"/>
  <c r="G47" i="8" s="1"/>
  <c r="B47" i="8"/>
  <c r="L46" i="8"/>
  <c r="P44" i="8"/>
  <c r="O44" i="8"/>
  <c r="N44" i="8"/>
  <c r="K44" i="8"/>
  <c r="H44" i="8"/>
  <c r="J44" i="8" s="1"/>
  <c r="E44" i="8"/>
  <c r="L43" i="8"/>
  <c r="M43" i="8" s="1"/>
  <c r="J43" i="8"/>
  <c r="I43" i="8"/>
  <c r="G43" i="8"/>
  <c r="D43" i="8" s="1"/>
  <c r="F43" i="8"/>
  <c r="C43" i="8" s="1"/>
  <c r="B43" i="8"/>
  <c r="L42" i="8"/>
  <c r="M42" i="8" s="1"/>
  <c r="J42" i="8"/>
  <c r="I42" i="8"/>
  <c r="G42" i="8"/>
  <c r="D42" i="8" s="1"/>
  <c r="F42" i="8"/>
  <c r="B42" i="8"/>
  <c r="M41" i="8"/>
  <c r="L41" i="8"/>
  <c r="J41" i="8"/>
  <c r="I41" i="8"/>
  <c r="G41" i="8"/>
  <c r="F41" i="8"/>
  <c r="B41" i="8"/>
  <c r="M40" i="8"/>
  <c r="L40" i="8"/>
  <c r="J40" i="8"/>
  <c r="I40" i="8"/>
  <c r="G40" i="8"/>
  <c r="F40" i="8"/>
  <c r="B40" i="8"/>
  <c r="D39" i="8"/>
  <c r="C39" i="8"/>
  <c r="B39" i="8"/>
  <c r="M38" i="8"/>
  <c r="L38" i="8"/>
  <c r="J38" i="8"/>
  <c r="I38" i="8"/>
  <c r="C38" i="8"/>
  <c r="B38" i="8"/>
  <c r="M37" i="8"/>
  <c r="L37" i="8"/>
  <c r="J37" i="8"/>
  <c r="I37" i="8"/>
  <c r="G37" i="8"/>
  <c r="F37" i="8"/>
  <c r="B37" i="8"/>
  <c r="D33" i="8"/>
  <c r="C33" i="8"/>
  <c r="B33" i="8"/>
  <c r="P32" i="8"/>
  <c r="O32" i="8"/>
  <c r="K32" i="8"/>
  <c r="H32" i="8"/>
  <c r="I32" i="8" s="1"/>
  <c r="F32" i="8"/>
  <c r="E32" i="8"/>
  <c r="L31" i="8"/>
  <c r="M31" i="8" s="1"/>
  <c r="J31" i="8"/>
  <c r="I31" i="8"/>
  <c r="G31" i="8"/>
  <c r="F31" i="8"/>
  <c r="C31" i="8" s="1"/>
  <c r="B31" i="8"/>
  <c r="L30" i="8"/>
  <c r="J30" i="8"/>
  <c r="I30" i="8"/>
  <c r="G30" i="8"/>
  <c r="F30" i="8"/>
  <c r="B30" i="8"/>
  <c r="L29" i="8"/>
  <c r="M29" i="8" s="1"/>
  <c r="J29" i="8"/>
  <c r="I29" i="8"/>
  <c r="G29" i="8"/>
  <c r="F29" i="8"/>
  <c r="B29" i="8"/>
  <c r="L28" i="8"/>
  <c r="M28" i="8" s="1"/>
  <c r="J28" i="8"/>
  <c r="I28" i="8"/>
  <c r="G28" i="8"/>
  <c r="D28" i="8" s="1"/>
  <c r="F28" i="8"/>
  <c r="B28" i="8"/>
  <c r="M27" i="8"/>
  <c r="J27" i="8"/>
  <c r="I27" i="8"/>
  <c r="G27" i="8"/>
  <c r="F27" i="8"/>
  <c r="P26" i="8"/>
  <c r="O26" i="8"/>
  <c r="N26" i="8"/>
  <c r="K26" i="8"/>
  <c r="E26" i="8"/>
  <c r="M25" i="8"/>
  <c r="L25" i="8"/>
  <c r="J25" i="8"/>
  <c r="I25" i="8"/>
  <c r="G25" i="8"/>
  <c r="F25" i="8"/>
  <c r="B25" i="8"/>
  <c r="M24" i="8"/>
  <c r="L24" i="8"/>
  <c r="I24" i="8"/>
  <c r="J24" i="8" s="1"/>
  <c r="G24" i="8"/>
  <c r="F24" i="8"/>
  <c r="C24" i="8" s="1"/>
  <c r="B24" i="8"/>
  <c r="M23" i="8"/>
  <c r="L23" i="8"/>
  <c r="I23" i="8"/>
  <c r="J23" i="8" s="1"/>
  <c r="D23" i="8" s="1"/>
  <c r="G23" i="8"/>
  <c r="F23" i="8"/>
  <c r="B23" i="8"/>
  <c r="M22" i="8"/>
  <c r="L22" i="8"/>
  <c r="I22" i="8"/>
  <c r="J22" i="8" s="1"/>
  <c r="G22" i="8"/>
  <c r="F22" i="8"/>
  <c r="B22" i="8"/>
  <c r="M21" i="8"/>
  <c r="L21" i="8"/>
  <c r="H21" i="8"/>
  <c r="G21" i="8"/>
  <c r="F21" i="8"/>
  <c r="M20" i="8"/>
  <c r="L20" i="8"/>
  <c r="H20" i="8"/>
  <c r="G20" i="8"/>
  <c r="F20" i="8"/>
  <c r="P19" i="8"/>
  <c r="O19" i="8"/>
  <c r="N19" i="8"/>
  <c r="K19" i="8"/>
  <c r="H19" i="8"/>
  <c r="E19" i="8"/>
  <c r="M18" i="8"/>
  <c r="L18" i="8"/>
  <c r="J18" i="8"/>
  <c r="I18" i="8"/>
  <c r="G18" i="8"/>
  <c r="F18" i="8"/>
  <c r="C18" i="8"/>
  <c r="B18" i="8"/>
  <c r="M17" i="8"/>
  <c r="L17" i="8"/>
  <c r="J17" i="8"/>
  <c r="I17" i="8"/>
  <c r="G17" i="8"/>
  <c r="F17" i="8"/>
  <c r="B17" i="8"/>
  <c r="M16" i="8"/>
  <c r="L16" i="8"/>
  <c r="J16" i="8"/>
  <c r="D16" i="8" s="1"/>
  <c r="I16" i="8"/>
  <c r="G16" i="8"/>
  <c r="F16" i="8"/>
  <c r="B16" i="8"/>
  <c r="M15" i="8"/>
  <c r="L15" i="8"/>
  <c r="J15" i="8"/>
  <c r="I15" i="8"/>
  <c r="C15" i="8" s="1"/>
  <c r="G15" i="8"/>
  <c r="B15" i="8"/>
  <c r="M14" i="8"/>
  <c r="L14" i="8"/>
  <c r="J14" i="8"/>
  <c r="I14" i="8"/>
  <c r="F14" i="8"/>
  <c r="G14" i="8" s="1"/>
  <c r="D14" i="8" s="1"/>
  <c r="B14" i="8"/>
  <c r="M13" i="8"/>
  <c r="L13" i="8"/>
  <c r="J13" i="8"/>
  <c r="I13" i="8"/>
  <c r="G13" i="8"/>
  <c r="D13" i="8" s="1"/>
  <c r="B13" i="8"/>
  <c r="M12" i="8"/>
  <c r="L12" i="8"/>
  <c r="J12" i="8"/>
  <c r="I12" i="8"/>
  <c r="F12" i="8"/>
  <c r="G12" i="8" s="1"/>
  <c r="D12" i="8" s="1"/>
  <c r="B12" i="8"/>
  <c r="M11" i="8"/>
  <c r="L11" i="8"/>
  <c r="J11" i="8"/>
  <c r="I11" i="8"/>
  <c r="F11" i="8"/>
  <c r="G11" i="8" s="1"/>
  <c r="C11" i="8"/>
  <c r="B11" i="8"/>
  <c r="M10" i="8"/>
  <c r="L10" i="8"/>
  <c r="J10" i="8"/>
  <c r="I10" i="8"/>
  <c r="F10" i="8"/>
  <c r="G10" i="8" s="1"/>
  <c r="B10" i="8"/>
  <c r="M9" i="8"/>
  <c r="L9" i="8"/>
  <c r="J9" i="8"/>
  <c r="I9" i="8"/>
  <c r="F9" i="8"/>
  <c r="B9" i="8"/>
  <c r="M8" i="8"/>
  <c r="L8" i="8"/>
  <c r="J8" i="8"/>
  <c r="I8" i="8"/>
  <c r="F8" i="8"/>
  <c r="G8" i="8" s="1"/>
  <c r="B8" i="8"/>
  <c r="P7" i="8"/>
  <c r="O7" i="8"/>
  <c r="N7" i="8"/>
  <c r="E7" i="8"/>
  <c r="L6" i="8"/>
  <c r="I6" i="8"/>
  <c r="F6" i="8"/>
  <c r="B6" i="8"/>
  <c r="H5" i="8"/>
  <c r="J5" i="8" s="1"/>
  <c r="F5" i="8"/>
  <c r="G5" i="8" s="1"/>
  <c r="N3" i="8"/>
  <c r="N27" i="8" s="1"/>
  <c r="M3" i="8"/>
  <c r="L3" i="8"/>
  <c r="H3" i="8"/>
  <c r="H46" i="8" s="1"/>
  <c r="E3" i="8"/>
  <c r="F3" i="8" s="1"/>
  <c r="V106" i="7"/>
  <c r="O106" i="7"/>
  <c r="N106" i="7"/>
  <c r="M106" i="7"/>
  <c r="L106" i="7"/>
  <c r="K106" i="7"/>
  <c r="J106" i="7"/>
  <c r="I106" i="7"/>
  <c r="H106" i="7"/>
  <c r="G10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V39" i="7"/>
  <c r="U39" i="7"/>
  <c r="T39" i="7"/>
  <c r="S39" i="7"/>
  <c r="R39" i="7"/>
  <c r="Q39" i="7"/>
  <c r="P39" i="7"/>
  <c r="O39" i="7"/>
  <c r="M39" i="7"/>
  <c r="L39" i="7"/>
  <c r="K39" i="7"/>
  <c r="J39" i="7"/>
  <c r="I39" i="7"/>
  <c r="H39" i="7"/>
  <c r="G39" i="7"/>
  <c r="N37" i="7"/>
  <c r="B37" i="7" s="1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V10" i="7"/>
  <c r="V43" i="7" s="1"/>
  <c r="U10" i="7"/>
  <c r="S10" i="7"/>
  <c r="Q10" i="7"/>
  <c r="P10" i="7"/>
  <c r="O10" i="7"/>
  <c r="N10" i="7"/>
  <c r="M10" i="7"/>
  <c r="L10" i="7"/>
  <c r="K10" i="7"/>
  <c r="J10" i="7"/>
  <c r="J43" i="7" s="1"/>
  <c r="I10" i="7"/>
  <c r="H10" i="7"/>
  <c r="G10" i="7"/>
  <c r="T5" i="7"/>
  <c r="T10" i="7" s="1"/>
  <c r="R5" i="7"/>
  <c r="B26" i="7" l="1"/>
  <c r="B28" i="7" s="1"/>
  <c r="B33" i="7"/>
  <c r="B35" i="7" s="1"/>
  <c r="W55" i="7"/>
  <c r="I87" i="8"/>
  <c r="D11" i="8"/>
  <c r="D17" i="8"/>
  <c r="D18" i="8"/>
  <c r="C25" i="8"/>
  <c r="M26" i="8"/>
  <c r="G44" i="8"/>
  <c r="M44" i="8"/>
  <c r="D38" i="8"/>
  <c r="D44" i="8" s="1"/>
  <c r="B79" i="8"/>
  <c r="C61" i="8"/>
  <c r="D66" i="8"/>
  <c r="D69" i="8"/>
  <c r="D74" i="8"/>
  <c r="C77" i="8"/>
  <c r="D29" i="8"/>
  <c r="J32" i="8"/>
  <c r="D70" i="8"/>
  <c r="Q41" i="7"/>
  <c r="C17" i="8"/>
  <c r="D25" i="8"/>
  <c r="C30" i="8"/>
  <c r="C60" i="8"/>
  <c r="C63" i="8"/>
  <c r="D64" i="8"/>
  <c r="H7" i="8"/>
  <c r="I5" i="8"/>
  <c r="I7" i="8" s="1"/>
  <c r="B44" i="8"/>
  <c r="G48" i="8"/>
  <c r="D48" i="8" s="1"/>
  <c r="D72" i="8"/>
  <c r="J63" i="7"/>
  <c r="B19" i="8"/>
  <c r="J19" i="8"/>
  <c r="D37" i="8"/>
  <c r="F79" i="8"/>
  <c r="C67" i="8"/>
  <c r="B39" i="7"/>
  <c r="P34" i="8"/>
  <c r="D10" i="8"/>
  <c r="C41" i="8"/>
  <c r="C42" i="8"/>
  <c r="I44" i="8"/>
  <c r="D60" i="8"/>
  <c r="C87" i="8"/>
  <c r="C9" i="8"/>
  <c r="C23" i="8"/>
  <c r="C40" i="8"/>
  <c r="D41" i="8"/>
  <c r="C66" i="8"/>
  <c r="D68" i="8"/>
  <c r="C78" i="8"/>
  <c r="U41" i="7"/>
  <c r="U42" i="7" s="1"/>
  <c r="G9" i="8"/>
  <c r="D9" i="8" s="1"/>
  <c r="D40" i="8"/>
  <c r="C65" i="8"/>
  <c r="C74" i="8"/>
  <c r="D78" i="8"/>
  <c r="M41" i="7"/>
  <c r="M43" i="7" s="1"/>
  <c r="M87" i="7" s="1"/>
  <c r="M107" i="7" s="1"/>
  <c r="V87" i="7"/>
  <c r="V107" i="7" s="1"/>
  <c r="C16" i="8"/>
  <c r="D24" i="8"/>
  <c r="O34" i="8"/>
  <c r="O53" i="8" s="1"/>
  <c r="D65" i="8"/>
  <c r="C73" i="8"/>
  <c r="L79" i="8"/>
  <c r="G41" i="7"/>
  <c r="B14" i="7"/>
  <c r="B5" i="7"/>
  <c r="B10" i="7" s="1"/>
  <c r="B41" i="7"/>
  <c r="B55" i="7"/>
  <c r="B60" i="7" s="1"/>
  <c r="B62" i="7"/>
  <c r="B86" i="7"/>
  <c r="B106" i="7"/>
  <c r="C14" i="8"/>
  <c r="D15" i="8"/>
  <c r="C28" i="8"/>
  <c r="C50" i="8"/>
  <c r="D73" i="8"/>
  <c r="B87" i="8"/>
  <c r="M55" i="8"/>
  <c r="M57" i="8" s="1"/>
  <c r="Q42" i="7"/>
  <c r="Q43" i="7"/>
  <c r="Q87" i="7" s="1"/>
  <c r="G42" i="7"/>
  <c r="U43" i="7"/>
  <c r="U87" i="7" s="1"/>
  <c r="U90" i="7" s="1"/>
  <c r="U106" i="7" s="1"/>
  <c r="K41" i="7"/>
  <c r="K42" i="7" s="1"/>
  <c r="O41" i="7"/>
  <c r="O42" i="7" s="1"/>
  <c r="N39" i="7"/>
  <c r="P41" i="7"/>
  <c r="P42" i="7" s="1"/>
  <c r="H41" i="7"/>
  <c r="H63" i="7" s="1"/>
  <c r="L41" i="7"/>
  <c r="T41" i="7"/>
  <c r="T63" i="7" s="1"/>
  <c r="V63" i="7"/>
  <c r="I3" i="8"/>
  <c r="C3" i="8" s="1"/>
  <c r="D50" i="8"/>
  <c r="C47" i="8"/>
  <c r="N46" i="8"/>
  <c r="N51" i="8" s="1"/>
  <c r="J3" i="8"/>
  <c r="J79" i="8"/>
  <c r="M30" i="8"/>
  <c r="D30" i="8" s="1"/>
  <c r="I19" i="8"/>
  <c r="C8" i="8"/>
  <c r="C27" i="8"/>
  <c r="N32" i="8"/>
  <c r="N34" i="8" s="1"/>
  <c r="D27" i="8"/>
  <c r="F26" i="8"/>
  <c r="G26" i="8"/>
  <c r="G6" i="8"/>
  <c r="C6" i="8"/>
  <c r="F7" i="8"/>
  <c r="G7" i="8" s="1"/>
  <c r="P53" i="8"/>
  <c r="P35" i="8"/>
  <c r="P52" i="8"/>
  <c r="P80" i="8" s="1"/>
  <c r="P88" i="8" s="1"/>
  <c r="B27" i="8"/>
  <c r="B32" i="8" s="1"/>
  <c r="C29" i="8"/>
  <c r="K7" i="8"/>
  <c r="L7" i="8"/>
  <c r="B5" i="8"/>
  <c r="B7" i="8" s="1"/>
  <c r="L19" i="8"/>
  <c r="I21" i="8"/>
  <c r="J21" i="8" s="1"/>
  <c r="D21" i="8" s="1"/>
  <c r="B21" i="8"/>
  <c r="C22" i="8"/>
  <c r="F87" i="8"/>
  <c r="L87" i="8"/>
  <c r="E46" i="8"/>
  <c r="G3" i="8"/>
  <c r="M6" i="8"/>
  <c r="J6" i="8"/>
  <c r="J7" i="8" s="1"/>
  <c r="C10" i="8"/>
  <c r="C12" i="8"/>
  <c r="B20" i="8"/>
  <c r="H26" i="8"/>
  <c r="I20" i="8"/>
  <c r="E34" i="8"/>
  <c r="L51" i="8"/>
  <c r="M46" i="8"/>
  <c r="M51" i="8" s="1"/>
  <c r="D47" i="8"/>
  <c r="C49" i="8"/>
  <c r="G57" i="8"/>
  <c r="G87" i="8"/>
  <c r="C13" i="8"/>
  <c r="F19" i="8"/>
  <c r="O52" i="8"/>
  <c r="O80" i="8" s="1"/>
  <c r="O88" i="8" s="1"/>
  <c r="L32" i="8"/>
  <c r="F44" i="8"/>
  <c r="L44" i="8"/>
  <c r="H51" i="8"/>
  <c r="I46" i="8"/>
  <c r="D49" i="8"/>
  <c r="G79" i="8"/>
  <c r="M79" i="8"/>
  <c r="D87" i="8"/>
  <c r="M87" i="8"/>
  <c r="B3" i="8"/>
  <c r="D8" i="8"/>
  <c r="M19" i="8"/>
  <c r="D22" i="8"/>
  <c r="K34" i="8"/>
  <c r="K53" i="8" s="1"/>
  <c r="L26" i="8"/>
  <c r="D31" i="8"/>
  <c r="O35" i="8"/>
  <c r="I79" i="8"/>
  <c r="G32" i="8"/>
  <c r="C37" i="8"/>
  <c r="C55" i="8"/>
  <c r="C57" i="8" s="1"/>
  <c r="W14" i="7"/>
  <c r="L42" i="7"/>
  <c r="L63" i="7"/>
  <c r="T42" i="7"/>
  <c r="L43" i="7"/>
  <c r="L87" i="7" s="1"/>
  <c r="L107" i="7" s="1"/>
  <c r="T43" i="7"/>
  <c r="T87" i="7" s="1"/>
  <c r="S41" i="7"/>
  <c r="S42" i="7" s="1"/>
  <c r="Q90" i="7"/>
  <c r="Q106" i="7" s="1"/>
  <c r="Q107" i="7" s="1"/>
  <c r="J87" i="7"/>
  <c r="J107" i="7" s="1"/>
  <c r="R10" i="7"/>
  <c r="I41" i="7"/>
  <c r="I42" i="7" s="1"/>
  <c r="M42" i="7"/>
  <c r="M63" i="7"/>
  <c r="Q63" i="7"/>
  <c r="G63" i="7"/>
  <c r="B63" i="7" s="1"/>
  <c r="P43" i="7"/>
  <c r="P87" i="7" s="1"/>
  <c r="G43" i="7"/>
  <c r="G87" i="7" s="1"/>
  <c r="N41" i="7"/>
  <c r="N42" i="7" s="1"/>
  <c r="R41" i="7"/>
  <c r="W86" i="7"/>
  <c r="W62" i="7"/>
  <c r="H43" i="7" l="1"/>
  <c r="H87" i="7" s="1"/>
  <c r="H107" i="7" s="1"/>
  <c r="D19" i="8"/>
  <c r="P63" i="7"/>
  <c r="G19" i="8"/>
  <c r="G34" i="8" s="1"/>
  <c r="G35" i="8" s="1"/>
  <c r="B67" i="7"/>
  <c r="D79" i="8"/>
  <c r="C79" i="8"/>
  <c r="U63" i="7"/>
  <c r="F34" i="8"/>
  <c r="O63" i="7"/>
  <c r="B42" i="7"/>
  <c r="B43" i="7" s="1"/>
  <c r="B44" i="7" s="1"/>
  <c r="O43" i="7"/>
  <c r="O87" i="7" s="1"/>
  <c r="O107" i="7" s="1"/>
  <c r="C44" i="8"/>
  <c r="G107" i="7"/>
  <c r="D55" i="8"/>
  <c r="D57" i="8" s="1"/>
  <c r="K43" i="7"/>
  <c r="K87" i="7" s="1"/>
  <c r="K107" i="7" s="1"/>
  <c r="S43" i="7"/>
  <c r="S87" i="7" s="1"/>
  <c r="S90" i="7" s="1"/>
  <c r="S106" i="7" s="1"/>
  <c r="S107" i="7" s="1"/>
  <c r="R43" i="7"/>
  <c r="R87" i="7" s="1"/>
  <c r="U107" i="7"/>
  <c r="N63" i="7"/>
  <c r="K63" i="7"/>
  <c r="N43" i="7"/>
  <c r="N87" i="7" s="1"/>
  <c r="N107" i="7" s="1"/>
  <c r="W39" i="7"/>
  <c r="W26" i="7"/>
  <c r="W41" i="7"/>
  <c r="W40" i="7"/>
  <c r="W33" i="7"/>
  <c r="B26" i="8"/>
  <c r="B34" i="8" s="1"/>
  <c r="M32" i="8"/>
  <c r="D32" i="8"/>
  <c r="F35" i="8"/>
  <c r="L34" i="8"/>
  <c r="L53" i="8" s="1"/>
  <c r="D3" i="8"/>
  <c r="K52" i="8"/>
  <c r="K80" i="8" s="1"/>
  <c r="K88" i="8" s="1"/>
  <c r="K35" i="8"/>
  <c r="J26" i="8"/>
  <c r="J34" i="8" s="1"/>
  <c r="I26" i="8"/>
  <c r="I34" i="8" s="1"/>
  <c r="H34" i="8"/>
  <c r="E51" i="8"/>
  <c r="E53" i="8" s="1"/>
  <c r="B46" i="8"/>
  <c r="B51" i="8" s="1"/>
  <c r="F46" i="8"/>
  <c r="D6" i="8"/>
  <c r="N35" i="8"/>
  <c r="N52" i="8"/>
  <c r="N80" i="8" s="1"/>
  <c r="N88" i="8" s="1"/>
  <c r="C21" i="8"/>
  <c r="J46" i="8"/>
  <c r="J51" i="8" s="1"/>
  <c r="I51" i="8"/>
  <c r="J20" i="8"/>
  <c r="D20" i="8" s="1"/>
  <c r="D26" i="8" s="1"/>
  <c r="C20" i="8"/>
  <c r="C5" i="8"/>
  <c r="C7" i="8" s="1"/>
  <c r="C32" i="8"/>
  <c r="C19" i="8"/>
  <c r="N53" i="8"/>
  <c r="E35" i="8"/>
  <c r="M7" i="8"/>
  <c r="D5" i="8"/>
  <c r="R90" i="7"/>
  <c r="R106" i="7" s="1"/>
  <c r="R42" i="7"/>
  <c r="W10" i="7"/>
  <c r="I43" i="7"/>
  <c r="I87" i="7" s="1"/>
  <c r="I107" i="7" s="1"/>
  <c r="S63" i="7"/>
  <c r="I63" i="7"/>
  <c r="R63" i="7"/>
  <c r="T90" i="7"/>
  <c r="T106" i="7" s="1"/>
  <c r="T107" i="7"/>
  <c r="P90" i="7"/>
  <c r="B107" i="7" l="1"/>
  <c r="B119" i="7" s="1"/>
  <c r="R107" i="7"/>
  <c r="B45" i="7"/>
  <c r="B68" i="7"/>
  <c r="B87" i="7"/>
  <c r="B91" i="7" s="1"/>
  <c r="J53" i="8"/>
  <c r="C26" i="8"/>
  <c r="C34" i="8" s="1"/>
  <c r="M34" i="8"/>
  <c r="M52" i="8" s="1"/>
  <c r="M80" i="8" s="1"/>
  <c r="M88" i="8" s="1"/>
  <c r="H35" i="8"/>
  <c r="H52" i="8"/>
  <c r="H80" i="8" s="1"/>
  <c r="H88" i="8" s="1"/>
  <c r="H53" i="8"/>
  <c r="B35" i="8"/>
  <c r="B52" i="8"/>
  <c r="E52" i="8"/>
  <c r="E80" i="8" s="1"/>
  <c r="E88" i="8" s="1"/>
  <c r="F51" i="8"/>
  <c r="G46" i="8"/>
  <c r="C46" i="8"/>
  <c r="C51" i="8" s="1"/>
  <c r="I52" i="8"/>
  <c r="I80" i="8" s="1"/>
  <c r="I88" i="8" s="1"/>
  <c r="I35" i="8"/>
  <c r="L35" i="8"/>
  <c r="L52" i="8"/>
  <c r="L80" i="8" s="1"/>
  <c r="L88" i="8" s="1"/>
  <c r="D7" i="8"/>
  <c r="D34" i="8" s="1"/>
  <c r="I53" i="8"/>
  <c r="J35" i="8"/>
  <c r="J52" i="8"/>
  <c r="J80" i="8" s="1"/>
  <c r="J88" i="8" s="1"/>
  <c r="P106" i="7"/>
  <c r="P107" i="7" s="1"/>
  <c r="W90" i="7"/>
  <c r="B92" i="7" l="1"/>
  <c r="B120" i="7" s="1"/>
  <c r="B125" i="7" s="1"/>
  <c r="W43" i="7"/>
  <c r="W87" i="7"/>
  <c r="M35" i="8"/>
  <c r="M53" i="8"/>
  <c r="G51" i="8"/>
  <c r="D46" i="8"/>
  <c r="D51" i="8" s="1"/>
  <c r="D53" i="8" s="1"/>
  <c r="B53" i="8"/>
  <c r="B80" i="8"/>
  <c r="B88" i="8" s="1"/>
  <c r="D35" i="8"/>
  <c r="C52" i="8"/>
  <c r="C80" i="8" s="1"/>
  <c r="C88" i="8" s="1"/>
  <c r="C35" i="8"/>
  <c r="F53" i="8"/>
  <c r="F52" i="8"/>
  <c r="F80" i="8" s="1"/>
  <c r="F88" i="8" s="1"/>
  <c r="C53" i="8"/>
  <c r="W89" i="7"/>
  <c r="D52" i="8" l="1"/>
  <c r="D80" i="8" s="1"/>
  <c r="D88" i="8" s="1"/>
  <c r="G53" i="8"/>
  <c r="G52" i="8"/>
  <c r="G80" i="8" s="1"/>
  <c r="G88" i="8" s="1"/>
  <c r="W106" i="7"/>
  <c r="W107" i="7"/>
  <c r="F36" i="5" l="1"/>
  <c r="G3" i="5" s="1"/>
  <c r="G6" i="5" s="1"/>
  <c r="G36" i="5" s="1"/>
  <c r="H3" i="5" s="1"/>
  <c r="H6" i="5" s="1"/>
  <c r="H36" i="5" s="1"/>
</calcChain>
</file>

<file path=xl/comments1.xml><?xml version="1.0" encoding="utf-8"?>
<comments xmlns="http://schemas.openxmlformats.org/spreadsheetml/2006/main">
  <authors>
    <author>Borntrager, Kristin M</author>
    <author>Racine, Laurie</author>
    <author>LRacine</author>
    <author>Pamela Toschik</author>
  </authors>
  <commentList>
    <comment ref="S2" authorId="0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50110
exp:3/31/2019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Was Radio, now Nanotag exp 9/18/2015 pass thru 090 with mgmt 100
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New 2012    C.Spiegel
ODB Satellite  Exp:1/31/16
AG#:  M12PG00005
FY12  $440k   
Diving Birds pass thru 51 with mgmt 41 exp 4/30/2017
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R5:  5001 &amp; 50021MS
Ships of Opportunity 
Exp: 2/5/2014
AG#: M09PG00004</t>
        </r>
      </text>
    </comment>
    <comment ref="C3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HQ reduced due to increased cost share
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$27,000 moved from 1231 to 1234 for the GIS position funded in FY15 by 1231  LKR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24,000 moved from 1231 to 1234 for the GIS position funded in FY15 by 1231  LKR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LRacine:</t>
        </r>
        <r>
          <rPr>
            <sz val="9"/>
            <color indexed="81"/>
            <rFont val="Tahoma"/>
            <family val="2"/>
          </rPr>
          <t xml:space="preserve">
Will be moved to NFWF Predator after new fiy</t>
        </r>
      </text>
    </comment>
    <comment ref="D30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Grade 5, Step 1 for 8 pay periods
</t>
        </r>
      </text>
    </comment>
    <comment ref="E36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75% of the year.  Starts in January
</t>
        </r>
      </text>
    </comment>
    <comment ref="B64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Amount changed per Pam 1-29-16
</t>
        </r>
      </text>
    </comment>
    <comment ref="C70" authorId="3" shapeId="0">
      <text>
        <r>
          <rPr>
            <b/>
            <sz val="9"/>
            <color indexed="81"/>
            <rFont val="Tahoma"/>
            <family val="2"/>
          </rPr>
          <t>Pamela Toschik:</t>
        </r>
        <r>
          <rPr>
            <sz val="9"/>
            <color indexed="81"/>
            <rFont val="Tahoma"/>
            <family val="2"/>
          </rPr>
          <t xml:space="preserve">
1231 includes 6k for Pam t and 1234 includses 1500 for Pam T</t>
        </r>
      </text>
    </comment>
    <comment ref="E80" authorId="2" shapeId="0">
      <text>
        <r>
          <rPr>
            <b/>
            <sz val="9"/>
            <color indexed="81"/>
            <rFont val="Tahoma"/>
            <family val="2"/>
          </rPr>
          <t>LRacine:</t>
        </r>
        <r>
          <rPr>
            <sz val="9"/>
            <color indexed="81"/>
            <rFont val="Tahoma"/>
            <family val="2"/>
          </rPr>
          <t xml:space="preserve">
Includes facilitator for Board Meeting
</t>
        </r>
      </text>
    </comment>
    <comment ref="E88" authorId="1" shapeId="0">
      <text>
        <r>
          <rPr>
            <b/>
            <sz val="9"/>
            <color indexed="81"/>
            <rFont val="Tahoma"/>
            <family val="2"/>
          </rPr>
          <t>Racine, Laurie:</t>
        </r>
        <r>
          <rPr>
            <sz val="9"/>
            <color indexed="81"/>
            <rFont val="Tahoma"/>
            <family val="2"/>
          </rPr>
          <t xml:space="preserve">
ACJV Coordinator, Tim and Deb</t>
        </r>
      </text>
    </comment>
    <comment ref="C109" authorId="2" shapeId="0">
      <text>
        <r>
          <rPr>
            <b/>
            <sz val="9"/>
            <color indexed="81"/>
            <rFont val="Tahoma"/>
            <family val="2"/>
          </rPr>
          <t>LRacine:</t>
        </r>
        <r>
          <rPr>
            <sz val="9"/>
            <color indexed="81"/>
            <rFont val="Tahoma"/>
            <family val="2"/>
          </rPr>
          <t xml:space="preserve">
I believe that these went under the BOEM reimbursable
</t>
        </r>
      </text>
    </comment>
    <comment ref="C110" authorId="2" shapeId="0">
      <text>
        <r>
          <rPr>
            <b/>
            <sz val="9"/>
            <color indexed="81"/>
            <rFont val="Tahoma"/>
            <family val="2"/>
          </rPr>
          <t>LRacine:</t>
        </r>
        <r>
          <rPr>
            <sz val="9"/>
            <color indexed="81"/>
            <rFont val="Tahoma"/>
            <family val="2"/>
          </rPr>
          <t xml:space="preserve">
Not funded yet.  Will be after the new fiscal year.
</t>
        </r>
      </text>
    </comment>
    <comment ref="E113" authorId="2" shapeId="0">
      <text>
        <r>
          <rPr>
            <b/>
            <sz val="9"/>
            <color indexed="81"/>
            <rFont val="Tahoma"/>
            <family val="2"/>
          </rPr>
          <t>LRacine:</t>
        </r>
        <r>
          <rPr>
            <sz val="9"/>
            <color indexed="81"/>
            <rFont val="Tahoma"/>
            <family val="2"/>
          </rPr>
          <t xml:space="preserve">
Note:  IBC RSA is only for $11,400 
</t>
        </r>
      </text>
    </comment>
    <comment ref="B117" authorId="3" shapeId="0">
      <text>
        <r>
          <rPr>
            <b/>
            <sz val="9"/>
            <color indexed="81"/>
            <rFont val="Tahoma"/>
            <family val="2"/>
          </rPr>
          <t>Pamela Toschik:</t>
        </r>
        <r>
          <rPr>
            <sz val="9"/>
            <color indexed="81"/>
            <rFont val="Tahoma"/>
            <family val="2"/>
          </rPr>
          <t xml:space="preserve">
don't need to add funds in FY16 - paid through Sept 30, 2017</t>
        </r>
      </text>
    </comment>
  </commentList>
</comments>
</file>

<file path=xl/comments2.xml><?xml version="1.0" encoding="utf-8"?>
<comments xmlns="http://schemas.openxmlformats.org/spreadsheetml/2006/main">
  <authors>
    <author>Pamela Toschik</author>
    <author>Borntrager, Kristin M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Pamela Toschik:</t>
        </r>
        <r>
          <rPr>
            <sz val="9"/>
            <color indexed="81"/>
            <rFont val="Tahoma"/>
            <family val="2"/>
          </rPr>
          <t xml:space="preserve">
prepaid 5/12ths of a year in 2016 with 156$ - paid through 9/30/17</t>
        </r>
      </text>
    </comment>
    <comment ref="E5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Division Chief kept entirely in Pops
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Split 3 ways in 15. Previous years were 50/25/25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Split 3 ways in 15. Previous years were 50/25/25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pass thru AMJV was removed from % calculation
</t>
        </r>
      </text>
    </comment>
    <comment ref="E38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Validated 12/23/14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Pamela Toschik:</t>
        </r>
        <r>
          <rPr>
            <sz val="9"/>
            <color indexed="81"/>
            <rFont val="Tahoma"/>
            <family val="2"/>
          </rPr>
          <t xml:space="preserve">
prepaid $110k with 156$
</t>
        </r>
      </text>
    </comment>
    <comment ref="E78" authorId="1" shapeId="0">
      <text>
        <r>
          <rPr>
            <b/>
            <sz val="9"/>
            <color indexed="81"/>
            <rFont val="Tahoma"/>
            <family val="2"/>
          </rPr>
          <t>Borntrager, Kristin M:</t>
        </r>
        <r>
          <rPr>
            <sz val="9"/>
            <color indexed="81"/>
            <rFont val="Tahoma"/>
            <family val="2"/>
          </rPr>
          <t xml:space="preserve">
added unanticipated for all 3 12/23/14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Pamela Toschik:</t>
        </r>
        <r>
          <rPr>
            <sz val="9"/>
            <color indexed="81"/>
            <rFont val="Tahoma"/>
            <family val="2"/>
          </rPr>
          <t xml:space="preserve">
prepaid co-op agreement for sept 16 - sept 30, 2017 with 1231$</t>
        </r>
      </text>
    </comment>
  </commentList>
</comments>
</file>

<file path=xl/sharedStrings.xml><?xml version="1.0" encoding="utf-8"?>
<sst xmlns="http://schemas.openxmlformats.org/spreadsheetml/2006/main" count="355" uniqueCount="258">
  <si>
    <t>Migratory Bird Program - R5</t>
  </si>
  <si>
    <t>ACJV</t>
  </si>
  <si>
    <t>BAS Allocations</t>
  </si>
  <si>
    <t>TOTAL FUNDS AVAILABLE</t>
  </si>
  <si>
    <t>SALARY/BENEFITS</t>
  </si>
  <si>
    <t>ADMININSTRATION SUBTOTAL</t>
  </si>
  <si>
    <t>Wildlife Biologist GS-13 (Jones)</t>
  </si>
  <si>
    <t>ACJV SUBTOTAL</t>
  </si>
  <si>
    <t>TOTAL LABOR</t>
  </si>
  <si>
    <t>OPERATIONS</t>
  </si>
  <si>
    <t>BA Shortfall, 5CMN and 5ITM</t>
  </si>
  <si>
    <t>Joint Expenditures (5CMN)</t>
  </si>
  <si>
    <t>231A - Utilities - RO Space Rental</t>
  </si>
  <si>
    <t>232A/B - Utilities - Other Space (Mtngs)</t>
  </si>
  <si>
    <t>233E - Utilities - Cell phones</t>
  </si>
  <si>
    <t>252R - Contracts - Prof Svc - 5SOL</t>
  </si>
  <si>
    <t>252T - Contracts - Training</t>
  </si>
  <si>
    <t>25.0 - Contracts - Other</t>
  </si>
  <si>
    <t>261* - Supplies - Office</t>
  </si>
  <si>
    <t>263O - Supplies - IT</t>
  </si>
  <si>
    <t>264B - Supplies - Field/ 265C clothes</t>
  </si>
  <si>
    <t>269F - Supplies - Gas/Rental</t>
  </si>
  <si>
    <t>312* - Equipment - IT/copier</t>
  </si>
  <si>
    <t>Unanticipated Expense</t>
  </si>
  <si>
    <t>SUBTOTAL OPERATIONS</t>
  </si>
  <si>
    <t>NON-DISCRETIONARY PROJECTS</t>
  </si>
  <si>
    <t xml:space="preserve">Unanticipated </t>
  </si>
  <si>
    <t>TOTAL NON-LABOR EXPENSES</t>
  </si>
  <si>
    <t xml:space="preserve">EST. REMAINING </t>
  </si>
  <si>
    <t>ACJV STAFF Subtotal</t>
  </si>
  <si>
    <t>NON-DISCRETIONARY</t>
  </si>
  <si>
    <t>ESTIMATED TRAVEL</t>
  </si>
  <si>
    <t>GIS CONTRACTOR</t>
  </si>
  <si>
    <t>FY16</t>
  </si>
  <si>
    <t>Centennial</t>
  </si>
  <si>
    <t>Craig's Rent</t>
  </si>
  <si>
    <t>External Funds</t>
  </si>
  <si>
    <t>FY17</t>
  </si>
  <si>
    <t>FY18</t>
  </si>
  <si>
    <t>`</t>
  </si>
  <si>
    <t>FY16 Budget Outlays</t>
  </si>
  <si>
    <t>1232/4581</t>
  </si>
  <si>
    <t>ES</t>
  </si>
  <si>
    <t>HC8315</t>
  </si>
  <si>
    <t>72030550020 CF</t>
  </si>
  <si>
    <t>CF</t>
  </si>
  <si>
    <t>DMB Resource</t>
  </si>
  <si>
    <t>Pops</t>
  </si>
  <si>
    <t>Permits/Fees</t>
  </si>
  <si>
    <t>AMJV</t>
  </si>
  <si>
    <t>Long Term Eagle</t>
  </si>
  <si>
    <t>Eagle</t>
  </si>
  <si>
    <t>Bycatch</t>
  </si>
  <si>
    <t>By-Catch</t>
  </si>
  <si>
    <t>NEPA</t>
  </si>
  <si>
    <t>NAWCA</t>
  </si>
  <si>
    <t>Jr Duck</t>
  </si>
  <si>
    <t>CBT Grant</t>
  </si>
  <si>
    <t>NFWF Hunting</t>
  </si>
  <si>
    <t>NFWF Predator</t>
  </si>
  <si>
    <t>Sandy Beach</t>
  </si>
  <si>
    <t>BOEM   Red Knots</t>
  </si>
  <si>
    <t>BOEM Data</t>
  </si>
  <si>
    <t>BOEM Nanotag</t>
  </si>
  <si>
    <t>BOEM Diving</t>
  </si>
  <si>
    <t>BOEM AMAPPS</t>
  </si>
  <si>
    <t>Cross Check</t>
  </si>
  <si>
    <t xml:space="preserve">Allocation:    </t>
  </si>
  <si>
    <t>Carryover from FY15</t>
  </si>
  <si>
    <t xml:space="preserve">Outside funds/Reimbursables </t>
  </si>
  <si>
    <t>231A - Utilities - RO Space Rental - RENT0</t>
  </si>
  <si>
    <t>Funding for Pathways and Eagle position</t>
  </si>
  <si>
    <t>Roxanne Bogart</t>
  </si>
  <si>
    <t>SUBTOTAL FUNDS AVAILABLE</t>
  </si>
  <si>
    <t xml:space="preserve">Divison Chief GS-14 (Toschik)         </t>
  </si>
  <si>
    <t xml:space="preserve">Program Asst. GS-8 (Motta)          </t>
  </si>
  <si>
    <t>Chief, Pops branch GS-13 (Johnston)</t>
  </si>
  <si>
    <t>Landbird Biologist GS-13 (Dettmers)</t>
  </si>
  <si>
    <r>
      <t>Gamebird Biologist G</t>
    </r>
    <r>
      <rPr>
        <sz val="10"/>
        <color theme="1"/>
        <rFont val="Arial"/>
        <family val="2"/>
      </rPr>
      <t>S-13 (Dwyer)</t>
    </r>
    <r>
      <rPr>
        <sz val="10"/>
        <rFont val="Arial"/>
        <family val="2"/>
      </rPr>
      <t xml:space="preserve"> </t>
    </r>
  </si>
  <si>
    <r>
      <t>PA Spec</t>
    </r>
    <r>
      <rPr>
        <sz val="10"/>
        <color theme="1"/>
        <rFont val="Arial"/>
        <family val="2"/>
      </rPr>
      <t>ialist GS-12 (Reynolds)</t>
    </r>
  </si>
  <si>
    <t>SCEP - GS-5  WO  (Leflure)</t>
  </si>
  <si>
    <t>SCEP - GS-5 (Loring)</t>
  </si>
  <si>
    <t>Marine Bio GS-12 (Spiegel)</t>
  </si>
  <si>
    <t>TERM Bio (GS-5/7/9) (Kane)</t>
  </si>
  <si>
    <t>TERM Statistician GS-11  Detloff</t>
  </si>
  <si>
    <r>
      <t>TE</t>
    </r>
    <r>
      <rPr>
        <sz val="10"/>
        <color theme="1"/>
        <rFont val="Arial"/>
        <family val="2"/>
      </rPr>
      <t>RM Statistician  GS-7/9 (Coleman)</t>
    </r>
  </si>
  <si>
    <t>Shorebird GS-7/9 (FY17)</t>
  </si>
  <si>
    <t>POPULATIONS SUBTOTAL</t>
  </si>
  <si>
    <t>Chief, Permit Branch GS-11 (Slocumb)</t>
  </si>
  <si>
    <t>Proposed 5/7/9 Bio (June 2016)</t>
  </si>
  <si>
    <t>Proposed 7/9/11 Eagle Bio (June 2016)</t>
  </si>
  <si>
    <t>Legal Examiner GS-8 (Ratcliffe)</t>
  </si>
  <si>
    <t>Permit Bio GS-11 (Frickey)</t>
  </si>
  <si>
    <t>Pathways GS-5 (Ortiz)</t>
  </si>
  <si>
    <t>PERMITS SUBTOTAL</t>
  </si>
  <si>
    <t>Chief, Habitat Branch, GS-13 (Weldon)</t>
  </si>
  <si>
    <t>PA Specialist GS-12 (Reynolds)</t>
  </si>
  <si>
    <t>Wildlife Biologist GS-13 (Watson)</t>
  </si>
  <si>
    <t>Wildlife Biologist GS-13 (Hartley)</t>
  </si>
  <si>
    <t>AWARDS .96% of FY15 Salary</t>
  </si>
  <si>
    <t>TOTAL ALL SALARY/BENEFITS</t>
  </si>
  <si>
    <t>% of total Resource MB16 dollars spent for salary</t>
  </si>
  <si>
    <t>AVAILABLE FUNDING FOR OPERATIONS/PROJ</t>
  </si>
  <si>
    <t>SMA - Projects - SMAS0</t>
  </si>
  <si>
    <t>Sandy Projects</t>
  </si>
  <si>
    <t>Webless Project - WEBB0</t>
  </si>
  <si>
    <t>Junior Duck Stamp</t>
  </si>
  <si>
    <t>1% Centennial - CENTL</t>
  </si>
  <si>
    <t>NEPA Training - NEPA0</t>
  </si>
  <si>
    <t>ACJV NAWCA/NAWCA-NWRS</t>
  </si>
  <si>
    <t>Reimbursables</t>
  </si>
  <si>
    <t>Support for Watson - R4SPT</t>
  </si>
  <si>
    <t>Unanticipated</t>
  </si>
  <si>
    <t>SUBTOTAL NON-DISCRETIONARY</t>
  </si>
  <si>
    <t>FIXED OPERATIONS</t>
  </si>
  <si>
    <t>BA Shortfall - 5NDX0</t>
  </si>
  <si>
    <t>Joint Expenditures - 5CMN0</t>
  </si>
  <si>
    <t>EA Support - SUPP0</t>
  </si>
  <si>
    <t>BA Support - BUDG0</t>
  </si>
  <si>
    <t>SUBTOTAL FIXED OPERATIONS</t>
  </si>
  <si>
    <t>% FIXED COSTS (Salary, non-disc, &amp; fixed ops)</t>
  </si>
  <si>
    <t>DISCRETIONARY OPERATIONS</t>
  </si>
  <si>
    <t>211* Travel - FY16</t>
  </si>
  <si>
    <t>211* Travel - FY15</t>
  </si>
  <si>
    <t>232A - Utilities - Other Space (meetings)</t>
  </si>
  <si>
    <t>233* - Utilities other</t>
  </si>
  <si>
    <t xml:space="preserve">     - Mail/Fedex/Shipping</t>
  </si>
  <si>
    <t>24.0 - Print &amp; Reproduction</t>
  </si>
  <si>
    <t>252L - OAS to R9</t>
  </si>
  <si>
    <t>252S - Contracts - Tuition</t>
  </si>
  <si>
    <t>25.7 - Ops Maint Equip Rep</t>
  </si>
  <si>
    <t>262* - Supplies -books/periodicals</t>
  </si>
  <si>
    <t>264B - Supplies - Field</t>
  </si>
  <si>
    <t>26.0 - Supplies - Other</t>
  </si>
  <si>
    <t>PCS</t>
  </si>
  <si>
    <t>SUBTOTAL DISCRETIONARY OPERATIONS</t>
  </si>
  <si>
    <t>REMAINING AVAILABLE BALANCE</t>
  </si>
  <si>
    <t>DISCRECTIONARY PROJECTS</t>
  </si>
  <si>
    <t>AMJV pass through (non-discretionary)</t>
  </si>
  <si>
    <t>Various Projects (411s &amp; 25s) - 16D01 thru 16D05</t>
  </si>
  <si>
    <t>2016 International Plover Census</t>
  </si>
  <si>
    <t>Translation of AFSI materials</t>
  </si>
  <si>
    <t>Prepay rent</t>
  </si>
  <si>
    <t>The Messenger</t>
  </si>
  <si>
    <t>AMBCC Workshop</t>
  </si>
  <si>
    <t>Bicknell's Thrush Three-pack</t>
  </si>
  <si>
    <t>Woodcock migration</t>
  </si>
  <si>
    <t>cerulean warbler geolocator</t>
  </si>
  <si>
    <t>wellfleet bay</t>
  </si>
  <si>
    <t>common eider duckling survival</t>
  </si>
  <si>
    <t>Golden-winged warbler</t>
  </si>
  <si>
    <t>Sarah Nystrom - ES - Eagle Work</t>
  </si>
  <si>
    <t>Kirsten Contract - GIS00</t>
  </si>
  <si>
    <t>TOTAL DISCRETIONARY</t>
  </si>
  <si>
    <t>ANTICIPATED CARRYOVER/AVAIL FUNDING</t>
  </si>
  <si>
    <t>DMB Resource 2016</t>
  </si>
  <si>
    <t>DMB Resource 2017</t>
  </si>
  <si>
    <t>DMB Resource 2018</t>
  </si>
  <si>
    <t>FY16 Pops</t>
  </si>
  <si>
    <t>FY17 flat</t>
  </si>
  <si>
    <t>FY18 Flat</t>
  </si>
  <si>
    <t>FY16 Permits</t>
  </si>
  <si>
    <t>FY16 ACJV</t>
  </si>
  <si>
    <t>FY17 flat ACJV</t>
  </si>
  <si>
    <t>FY18 FLAT</t>
  </si>
  <si>
    <t>Permit Fees</t>
  </si>
  <si>
    <r>
      <t xml:space="preserve">Divison Chief GS-14 </t>
    </r>
    <r>
      <rPr>
        <sz val="10"/>
        <color theme="0"/>
        <rFont val="Arial"/>
        <family val="2"/>
      </rPr>
      <t xml:space="preserve">(Toschik)    </t>
    </r>
    <r>
      <rPr>
        <sz val="10"/>
        <rFont val="Arial"/>
        <family val="2"/>
      </rPr>
      <t xml:space="preserve">     </t>
    </r>
  </si>
  <si>
    <r>
      <t xml:space="preserve">Program Asst. GS-8 </t>
    </r>
    <r>
      <rPr>
        <sz val="10"/>
        <color theme="0"/>
        <rFont val="Arial"/>
        <family val="2"/>
      </rPr>
      <t xml:space="preserve">(Motta)  </t>
    </r>
    <r>
      <rPr>
        <sz val="10"/>
        <rFont val="Arial"/>
        <family val="2"/>
      </rPr>
      <t xml:space="preserve">        </t>
    </r>
  </si>
  <si>
    <t>ADMININSTRATION SUBTOTAL (2 FTEs)</t>
  </si>
  <si>
    <t xml:space="preserve">Gamebird Biologist GS-13 (Dwyer) </t>
  </si>
  <si>
    <t>PERM Bio (GS-7/9/11  (Loring Proposed August 2016)</t>
  </si>
  <si>
    <t>TERM Statistician  GS-7/9 (Vacant - starts July 2015)</t>
  </si>
  <si>
    <t>TERM Statistician  GS-7/9 (Coleman)</t>
  </si>
  <si>
    <t>TERM Shorebird Data Mgmt  GS-7/9 (FY17)</t>
  </si>
  <si>
    <t>POPULATIONS SUBTOTAL (6 FTEs)</t>
  </si>
  <si>
    <t>Proposed 5/7/9 Bio</t>
  </si>
  <si>
    <t>Proposed 7/9/11 Bio (proposed March 2016)</t>
  </si>
  <si>
    <t>Pathways</t>
  </si>
  <si>
    <t>PERMITS SUBTOTAL (5.5 FTEs)</t>
  </si>
  <si>
    <t>Chief, Habitat Branch, GS-13 (Vacant 1)</t>
  </si>
  <si>
    <t>ACJV SUBTOTAL (4.5 FTEs)</t>
  </si>
  <si>
    <t>TOTAL ALL SALARY/BENEFITS/AWARDS</t>
  </si>
  <si>
    <t>Webless Project - WEBB0 (16 only)</t>
  </si>
  <si>
    <t>1% Centennial - CENTL (16 only)</t>
  </si>
  <si>
    <t>AMJV pass thru</t>
  </si>
  <si>
    <t>SUBTOTAL FIXED OPS</t>
  </si>
  <si>
    <t>TOTAL FIXED COSTS ( Salary, non-disc &amp; fixed)</t>
  </si>
  <si>
    <t>Travel</t>
  </si>
  <si>
    <t>211* Travel</t>
  </si>
  <si>
    <t>SUBTOTAL TRAVEL</t>
  </si>
  <si>
    <t>25.3 - Purchases - REIMB</t>
  </si>
  <si>
    <t>PCS (16 only)</t>
  </si>
  <si>
    <t>SUBTOTAL DISCRETIONARY OPS</t>
  </si>
  <si>
    <t>Project 1 - 16D01</t>
  </si>
  <si>
    <t>Project 2 - 16D02</t>
  </si>
  <si>
    <t>NO CARRYOVER</t>
  </si>
  <si>
    <t>NO REIMBURSABLE</t>
  </si>
  <si>
    <t>Funding change</t>
  </si>
  <si>
    <t>Expense change</t>
  </si>
  <si>
    <t>Salary change</t>
  </si>
  <si>
    <t>2017</t>
  </si>
  <si>
    <t>2018</t>
  </si>
  <si>
    <t>Info</t>
  </si>
  <si>
    <t>Administration</t>
  </si>
  <si>
    <t>ACJV Staff</t>
  </si>
  <si>
    <t>Operations</t>
  </si>
  <si>
    <t>Includes all expenses (ie. equipment, supplies, rent, joint ependitures, indexing)</t>
  </si>
  <si>
    <t>NonDisretionary</t>
  </si>
  <si>
    <t>Unknown</t>
  </si>
  <si>
    <t>Salary increase estimate at 4%</t>
  </si>
  <si>
    <t>Expense Increase estimate at 2%</t>
  </si>
  <si>
    <t>GIS - Prepaid</t>
  </si>
  <si>
    <t>Actual Permit Fee Collections</t>
  </si>
  <si>
    <t>Ross/McVey/Bradway</t>
  </si>
  <si>
    <t>Ortiz</t>
  </si>
  <si>
    <t>PIF Database Support to R1</t>
  </si>
  <si>
    <t>Permits - Contribution to Legal Fees</t>
  </si>
  <si>
    <t>Great Lakes DCCO Survey - Per Pam</t>
  </si>
  <si>
    <t>Eagle Permits Contractor through CGS</t>
  </si>
  <si>
    <t>New York Nanotag Towers - 13</t>
  </si>
  <si>
    <t>Shorebird Disturbance Project with Refuges - 15</t>
  </si>
  <si>
    <t>Shorebird Initiative Implementation Support - 75</t>
  </si>
  <si>
    <t>Bicknells Workshop Support - 15</t>
  </si>
  <si>
    <t>Saltmarsh Business Planning Workshop - 20</t>
  </si>
  <si>
    <t>Atlantic Brant Banding - 13.5</t>
  </si>
  <si>
    <t>Optics for the Tropics</t>
  </si>
  <si>
    <t>Permits - Region 3 Assistance</t>
  </si>
  <si>
    <t>carry over percent</t>
  </si>
  <si>
    <t>Allocations</t>
  </si>
  <si>
    <t>FY19</t>
  </si>
  <si>
    <t>2019</t>
  </si>
  <si>
    <t xml:space="preserve">Travel  </t>
  </si>
  <si>
    <t>ADMINISTRATION Subtotal</t>
  </si>
  <si>
    <t>FY20</t>
  </si>
  <si>
    <t>2020</t>
  </si>
  <si>
    <t>CBT Grant - Kirstin's portion</t>
  </si>
  <si>
    <t>Admin includes Pam and Anneelee.</t>
  </si>
  <si>
    <t>Includes all expenses (ie. equipment, supplies, rent (increase from FY17), joint ependitures, indexing)</t>
  </si>
  <si>
    <t>Allocations - Actuals</t>
  </si>
  <si>
    <t>Travel - Same as FY17</t>
  </si>
  <si>
    <t>Allocations - Actual</t>
  </si>
  <si>
    <t>Admin includes Pam &amp; Annelee</t>
  </si>
  <si>
    <t>Actuals</t>
  </si>
  <si>
    <t>Actual Carryover from prior year</t>
  </si>
  <si>
    <t>FY21</t>
  </si>
  <si>
    <t>FY22</t>
  </si>
  <si>
    <t>Admin cost decrease due to MB Chief detail to ES.</t>
  </si>
  <si>
    <t>Salary decreased due to departure of T. Jones. Includes part year of GS-12 term.</t>
  </si>
  <si>
    <t>2021</t>
  </si>
  <si>
    <t>Allocations - 3% decrease from FY20</t>
  </si>
  <si>
    <t>Admin cost increase, MB Chief returns.</t>
  </si>
  <si>
    <t>Travel - same as FY18</t>
  </si>
  <si>
    <t>Travel - same as FY19</t>
  </si>
  <si>
    <t>Travel - same as FY20</t>
  </si>
  <si>
    <t>2022</t>
  </si>
  <si>
    <t>Travel - same as FY21</t>
  </si>
  <si>
    <t>Salary increase estimate at 4%. GS-12 Term full year.</t>
  </si>
  <si>
    <t>Allocations - 3% decrease from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</si>
</sst>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3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7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9" borderId="15" applyNumberFormat="0" applyAlignment="0" applyProtection="0"/>
    <xf numFmtId="0" fontId="20" fillId="29" borderId="15" applyNumberFormat="0" applyAlignment="0" applyProtection="0"/>
    <xf numFmtId="0" fontId="20" fillId="29" borderId="15" applyNumberFormat="0" applyAlignment="0" applyProtection="0"/>
    <xf numFmtId="0" fontId="21" fillId="42" borderId="16" applyNumberFormat="0" applyAlignment="0" applyProtection="0"/>
    <xf numFmtId="0" fontId="21" fillId="42" borderId="16" applyNumberFormat="0" applyAlignment="0" applyProtection="0"/>
    <xf numFmtId="0" fontId="21" fillId="42" borderId="1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15" applyNumberFormat="0" applyAlignment="0" applyProtection="0"/>
    <xf numFmtId="0" fontId="28" fillId="29" borderId="15" applyNumberFormat="0" applyAlignment="0" applyProtection="0"/>
    <xf numFmtId="0" fontId="28" fillId="29" borderId="15" applyNumberFormat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" fillId="0" borderId="0"/>
    <xf numFmtId="0" fontId="12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22" fillId="0" borderId="0"/>
    <xf numFmtId="0" fontId="3" fillId="44" borderId="21" applyNumberFormat="0" applyFont="0" applyAlignment="0" applyProtection="0"/>
    <xf numFmtId="0" fontId="3" fillId="44" borderId="21" applyNumberFormat="0" applyFont="0" applyAlignment="0" applyProtection="0"/>
    <xf numFmtId="0" fontId="3" fillId="44" borderId="21" applyNumberFormat="0" applyFont="0" applyAlignment="0" applyProtection="0"/>
    <xf numFmtId="0" fontId="31" fillId="29" borderId="22" applyNumberFormat="0" applyAlignment="0" applyProtection="0"/>
    <xf numFmtId="0" fontId="31" fillId="29" borderId="22" applyNumberFormat="0" applyAlignment="0" applyProtection="0"/>
    <xf numFmtId="0" fontId="31" fillId="29" borderId="22" applyNumberFormat="0" applyAlignment="0" applyProtection="0"/>
    <xf numFmtId="9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4" xfId="0" applyBorder="1"/>
    <xf numFmtId="0" fontId="0" fillId="5" borderId="0" xfId="0" applyFill="1"/>
    <xf numFmtId="0" fontId="0" fillId="0" borderId="0" xfId="0" applyFill="1" applyBorder="1"/>
    <xf numFmtId="0" fontId="0" fillId="0" borderId="0" xfId="0" applyBorder="1"/>
    <xf numFmtId="37" fontId="0" fillId="0" borderId="0" xfId="0" applyNumberFormat="1" applyFill="1" applyBorder="1"/>
    <xf numFmtId="0" fontId="0" fillId="11" borderId="0" xfId="0" applyFill="1"/>
    <xf numFmtId="0" fontId="5" fillId="0" borderId="0" xfId="0" applyFont="1" applyFill="1" applyAlignment="1">
      <alignment horizontal="center"/>
    </xf>
    <xf numFmtId="0" fontId="7" fillId="0" borderId="3" xfId="0" applyFont="1" applyBorder="1" applyAlignment="1">
      <alignment horizontal="center"/>
    </xf>
    <xf numFmtId="38" fontId="8" fillId="6" borderId="3" xfId="0" applyNumberFormat="1" applyFont="1" applyFill="1" applyBorder="1"/>
    <xf numFmtId="38" fontId="6" fillId="0" borderId="4" xfId="0" applyNumberFormat="1" applyFont="1" applyFill="1" applyBorder="1"/>
    <xf numFmtId="38" fontId="9" fillId="7" borderId="6" xfId="0" applyNumberFormat="1" applyFont="1" applyFill="1" applyBorder="1"/>
    <xf numFmtId="38" fontId="7" fillId="8" borderId="6" xfId="0" applyNumberFormat="1" applyFont="1" applyFill="1" applyBorder="1"/>
    <xf numFmtId="38" fontId="6" fillId="5" borderId="4" xfId="0" applyNumberFormat="1" applyFont="1" applyFill="1" applyBorder="1"/>
    <xf numFmtId="0" fontId="6" fillId="5" borderId="4" xfId="0" applyFont="1" applyFill="1" applyBorder="1"/>
    <xf numFmtId="38" fontId="9" fillId="11" borderId="8" xfId="0" applyNumberFormat="1" applyFont="1" applyFill="1" applyBorder="1"/>
    <xf numFmtId="38" fontId="9" fillId="9" borderId="3" xfId="0" applyNumberFormat="1" applyFont="1" applyFill="1" applyBorder="1"/>
    <xf numFmtId="38" fontId="6" fillId="13" borderId="2" xfId="0" applyNumberFormat="1" applyFont="1" applyFill="1" applyBorder="1"/>
    <xf numFmtId="38" fontId="9" fillId="5" borderId="4" xfId="0" applyNumberFormat="1" applyFont="1" applyFill="1" applyBorder="1"/>
    <xf numFmtId="38" fontId="10" fillId="0" borderId="4" xfId="0" applyNumberFormat="1" applyFont="1" applyFill="1" applyBorder="1" applyAlignment="1">
      <alignment horizontal="right"/>
    </xf>
    <xf numFmtId="0" fontId="1" fillId="5" borderId="11" xfId="3" applyFont="1" applyFill="1" applyBorder="1" applyAlignment="1">
      <alignment horizontal="center"/>
    </xf>
    <xf numFmtId="0" fontId="3" fillId="5" borderId="11" xfId="3" applyFill="1" applyBorder="1" applyAlignment="1">
      <alignment horizontal="center"/>
    </xf>
    <xf numFmtId="0" fontId="1" fillId="0" borderId="11" xfId="3" applyFont="1" applyFill="1" applyBorder="1" applyAlignment="1">
      <alignment horizontal="center"/>
    </xf>
    <xf numFmtId="0" fontId="2" fillId="0" borderId="11" xfId="3" applyFont="1" applyFill="1" applyBorder="1" applyAlignment="1">
      <alignment horizontal="center"/>
    </xf>
    <xf numFmtId="0" fontId="1" fillId="5" borderId="11" xfId="3" applyFont="1" applyFill="1" applyBorder="1" applyAlignment="1">
      <alignment horizontal="center" wrapText="1"/>
    </xf>
    <xf numFmtId="0" fontId="2" fillId="5" borderId="11" xfId="3" applyFont="1" applyFill="1" applyBorder="1" applyAlignment="1">
      <alignment horizontal="center"/>
    </xf>
    <xf numFmtId="0" fontId="3" fillId="14" borderId="11" xfId="3" applyFont="1" applyFill="1" applyBorder="1" applyAlignment="1">
      <alignment horizontal="center"/>
    </xf>
    <xf numFmtId="0" fontId="1" fillId="5" borderId="12" xfId="3" applyFont="1" applyFill="1" applyBorder="1" applyAlignment="1">
      <alignment horizontal="center"/>
    </xf>
    <xf numFmtId="0" fontId="1" fillId="5" borderId="12" xfId="3" applyFont="1" applyFill="1" applyBorder="1" applyAlignment="1">
      <alignment horizontal="center" wrapText="1"/>
    </xf>
    <xf numFmtId="0" fontId="1" fillId="0" borderId="12" xfId="3" applyFont="1" applyFill="1" applyBorder="1" applyAlignment="1">
      <alignment horizontal="center"/>
    </xf>
    <xf numFmtId="0" fontId="2" fillId="0" borderId="12" xfId="3" applyFont="1" applyFill="1" applyBorder="1" applyAlignment="1">
      <alignment horizontal="center" wrapText="1"/>
    </xf>
    <xf numFmtId="0" fontId="1" fillId="0" borderId="12" xfId="3" applyFont="1" applyFill="1" applyBorder="1" applyAlignment="1">
      <alignment horizontal="center" wrapText="1"/>
    </xf>
    <xf numFmtId="0" fontId="1" fillId="0" borderId="12" xfId="3" applyNumberFormat="1" applyFont="1" applyFill="1" applyBorder="1" applyAlignment="1">
      <alignment horizontal="center" wrapText="1"/>
    </xf>
    <xf numFmtId="0" fontId="2" fillId="5" borderId="12" xfId="3" applyFont="1" applyFill="1" applyBorder="1" applyAlignment="1">
      <alignment horizontal="center" wrapText="1"/>
    </xf>
    <xf numFmtId="0" fontId="1" fillId="14" borderId="12" xfId="3" applyFont="1" applyFill="1" applyBorder="1" applyAlignment="1">
      <alignment horizontal="center" wrapText="1"/>
    </xf>
    <xf numFmtId="0" fontId="1" fillId="15" borderId="13" xfId="3" applyFont="1" applyFill="1" applyBorder="1"/>
    <xf numFmtId="38" fontId="1" fillId="10" borderId="13" xfId="1" applyNumberFormat="1" applyFont="1" applyFill="1" applyBorder="1"/>
    <xf numFmtId="38" fontId="3" fillId="0" borderId="13" xfId="1" applyNumberFormat="1" applyFont="1" applyBorder="1" applyAlignment="1">
      <alignment horizontal="right"/>
    </xf>
    <xf numFmtId="38" fontId="4" fillId="0" borderId="13" xfId="1" applyNumberFormat="1" applyFont="1" applyFill="1" applyBorder="1"/>
    <xf numFmtId="38" fontId="3" fillId="0" borderId="13" xfId="1" applyNumberFormat="1" applyFont="1" applyFill="1" applyBorder="1"/>
    <xf numFmtId="38" fontId="3" fillId="0" borderId="13" xfId="1" applyNumberFormat="1" applyFont="1" applyBorder="1"/>
    <xf numFmtId="38" fontId="1" fillId="0" borderId="13" xfId="1" applyNumberFormat="1" applyFont="1" applyBorder="1"/>
    <xf numFmtId="38" fontId="1" fillId="14" borderId="13" xfId="1" applyNumberFormat="1" applyFont="1" applyFill="1" applyBorder="1"/>
    <xf numFmtId="0" fontId="3" fillId="0" borderId="11" xfId="3" applyFont="1" applyBorder="1"/>
    <xf numFmtId="38" fontId="3" fillId="0" borderId="11" xfId="1" applyNumberFormat="1" applyFont="1" applyFill="1" applyBorder="1"/>
    <xf numFmtId="38" fontId="3" fillId="0" borderId="11" xfId="1" applyNumberFormat="1" applyFont="1" applyBorder="1"/>
    <xf numFmtId="38" fontId="1" fillId="14" borderId="11" xfId="1" applyNumberFormat="1" applyFont="1" applyFill="1" applyBorder="1"/>
    <xf numFmtId="0" fontId="3" fillId="0" borderId="11" xfId="3" applyBorder="1"/>
    <xf numFmtId="38" fontId="4" fillId="0" borderId="11" xfId="1" applyNumberFormat="1" applyFont="1" applyFill="1" applyBorder="1"/>
    <xf numFmtId="0" fontId="1" fillId="15" borderId="11" xfId="3" applyFont="1" applyFill="1" applyBorder="1" applyAlignment="1">
      <alignment horizontal="right"/>
    </xf>
    <xf numFmtId="38" fontId="1" fillId="15" borderId="11" xfId="1" applyNumberFormat="1" applyFont="1" applyFill="1" applyBorder="1"/>
    <xf numFmtId="0" fontId="1" fillId="16" borderId="11" xfId="3" applyFont="1" applyFill="1" applyBorder="1" applyAlignment="1">
      <alignment horizontal="center"/>
    </xf>
    <xf numFmtId="38" fontId="3" fillId="16" borderId="11" xfId="1" applyNumberFormat="1" applyFont="1" applyFill="1" applyBorder="1"/>
    <xf numFmtId="0" fontId="12" fillId="0" borderId="11" xfId="3" applyFont="1" applyFill="1" applyBorder="1"/>
    <xf numFmtId="0" fontId="1" fillId="3" borderId="11" xfId="3" applyFont="1" applyFill="1" applyBorder="1" applyAlignment="1">
      <alignment horizontal="right"/>
    </xf>
    <xf numFmtId="38" fontId="1" fillId="3" borderId="11" xfId="1" applyNumberFormat="1" applyFont="1" applyFill="1" applyBorder="1"/>
    <xf numFmtId="0" fontId="3" fillId="0" borderId="11" xfId="3" applyFont="1" applyFill="1" applyBorder="1"/>
    <xf numFmtId="0" fontId="1" fillId="17" borderId="11" xfId="3" applyFont="1" applyFill="1" applyBorder="1" applyAlignment="1">
      <alignment horizontal="right"/>
    </xf>
    <xf numFmtId="38" fontId="1" fillId="17" borderId="11" xfId="1" applyNumberFormat="1" applyFont="1" applyFill="1" applyBorder="1"/>
    <xf numFmtId="0" fontId="3" fillId="12" borderId="11" xfId="3" applyFont="1" applyFill="1" applyBorder="1"/>
    <xf numFmtId="0" fontId="2" fillId="2" borderId="11" xfId="3" applyFont="1" applyFill="1" applyBorder="1" applyAlignment="1">
      <alignment horizontal="right"/>
    </xf>
    <xf numFmtId="38" fontId="2" fillId="2" borderId="11" xfId="1" applyNumberFormat="1" applyFont="1" applyFill="1" applyBorder="1"/>
    <xf numFmtId="0" fontId="1" fillId="18" borderId="11" xfId="3" applyFont="1" applyFill="1" applyBorder="1" applyAlignment="1">
      <alignment horizontal="right"/>
    </xf>
    <xf numFmtId="38" fontId="1" fillId="18" borderId="11" xfId="1" applyNumberFormat="1" applyFont="1" applyFill="1" applyBorder="1"/>
    <xf numFmtId="0" fontId="13" fillId="0" borderId="0" xfId="0" applyFont="1"/>
    <xf numFmtId="0" fontId="2" fillId="16" borderId="11" xfId="3" applyFont="1" applyFill="1" applyBorder="1" applyAlignment="1">
      <alignment horizontal="right"/>
    </xf>
    <xf numFmtId="38" fontId="2" fillId="16" borderId="11" xfId="1" applyNumberFormat="1" applyFont="1" applyFill="1" applyBorder="1"/>
    <xf numFmtId="9" fontId="3" fillId="0" borderId="11" xfId="2" applyFont="1" applyFill="1" applyBorder="1"/>
    <xf numFmtId="0" fontId="1" fillId="19" borderId="11" xfId="3" applyFont="1" applyFill="1" applyBorder="1"/>
    <xf numFmtId="38" fontId="1" fillId="19" borderId="11" xfId="1" applyNumberFormat="1" applyFont="1" applyFill="1" applyBorder="1"/>
    <xf numFmtId="0" fontId="1" fillId="4" borderId="11" xfId="3" applyFont="1" applyFill="1" applyBorder="1" applyAlignment="1">
      <alignment horizontal="center"/>
    </xf>
    <xf numFmtId="38" fontId="3" fillId="4" borderId="11" xfId="1" applyNumberFormat="1" applyFont="1" applyFill="1" applyBorder="1"/>
    <xf numFmtId="0" fontId="1" fillId="4" borderId="11" xfId="3" applyFont="1" applyFill="1" applyBorder="1" applyAlignment="1">
      <alignment horizontal="right"/>
    </xf>
    <xf numFmtId="38" fontId="1" fillId="4" borderId="11" xfId="1" applyNumberFormat="1" applyFont="1" applyFill="1" applyBorder="1"/>
    <xf numFmtId="0" fontId="1" fillId="20" borderId="11" xfId="3" applyFont="1" applyFill="1" applyBorder="1" applyAlignment="1">
      <alignment horizontal="center"/>
    </xf>
    <xf numFmtId="38" fontId="3" fillId="20" borderId="11" xfId="1" applyNumberFormat="1" applyFont="1" applyFill="1" applyBorder="1"/>
    <xf numFmtId="0" fontId="3" fillId="0" borderId="11" xfId="3" applyFill="1" applyBorder="1"/>
    <xf numFmtId="0" fontId="1" fillId="20" borderId="11" xfId="3" applyFont="1" applyFill="1" applyBorder="1" applyAlignment="1">
      <alignment horizontal="right"/>
    </xf>
    <xf numFmtId="38" fontId="1" fillId="20" borderId="11" xfId="1" applyNumberFormat="1" applyFont="1" applyFill="1" applyBorder="1"/>
    <xf numFmtId="9" fontId="1" fillId="20" borderId="11" xfId="2" applyFont="1" applyFill="1" applyBorder="1"/>
    <xf numFmtId="0" fontId="1" fillId="21" borderId="11" xfId="3" applyFont="1" applyFill="1" applyBorder="1" applyAlignment="1">
      <alignment horizontal="center"/>
    </xf>
    <xf numFmtId="38" fontId="1" fillId="21" borderId="11" xfId="1" applyNumberFormat="1" applyFont="1" applyFill="1" applyBorder="1"/>
    <xf numFmtId="38" fontId="3" fillId="21" borderId="11" xfId="1" applyNumberFormat="1" applyFont="1" applyFill="1" applyBorder="1"/>
    <xf numFmtId="0" fontId="1" fillId="21" borderId="11" xfId="3" applyFont="1" applyFill="1" applyBorder="1" applyAlignment="1">
      <alignment horizontal="right"/>
    </xf>
    <xf numFmtId="164" fontId="1" fillId="19" borderId="11" xfId="1" applyNumberFormat="1" applyFont="1" applyFill="1" applyBorder="1"/>
    <xf numFmtId="164" fontId="0" fillId="0" borderId="0" xfId="1" applyNumberFormat="1" applyFont="1"/>
    <xf numFmtId="0" fontId="1" fillId="22" borderId="11" xfId="3" applyFont="1" applyFill="1" applyBorder="1" applyAlignment="1">
      <alignment horizontal="center"/>
    </xf>
    <xf numFmtId="38" fontId="3" fillId="22" borderId="11" xfId="1" applyNumberFormat="1" applyFont="1" applyFill="1" applyBorder="1"/>
    <xf numFmtId="0" fontId="0" fillId="0" borderId="11" xfId="0" applyBorder="1"/>
    <xf numFmtId="3" fontId="12" fillId="0" borderId="11" xfId="0" applyNumberFormat="1" applyFont="1" applyBorder="1"/>
    <xf numFmtId="0" fontId="1" fillId="22" borderId="11" xfId="3" applyFont="1" applyFill="1" applyBorder="1"/>
    <xf numFmtId="38" fontId="1" fillId="22" borderId="11" xfId="1" applyNumberFormat="1" applyFont="1" applyFill="1" applyBorder="1"/>
    <xf numFmtId="0" fontId="1" fillId="19" borderId="7" xfId="3" applyFont="1" applyFill="1" applyBorder="1"/>
    <xf numFmtId="38" fontId="1" fillId="0" borderId="7" xfId="1" applyNumberFormat="1" applyFont="1" applyBorder="1"/>
    <xf numFmtId="38" fontId="1" fillId="14" borderId="14" xfId="1" applyNumberFormat="1" applyFont="1" applyFill="1" applyBorder="1"/>
    <xf numFmtId="0" fontId="1" fillId="5" borderId="24" xfId="3" applyFont="1" applyFill="1" applyBorder="1" applyAlignment="1">
      <alignment horizontal="center"/>
    </xf>
    <xf numFmtId="0" fontId="3" fillId="5" borderId="3" xfId="3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164" fontId="1" fillId="0" borderId="25" xfId="1" applyNumberFormat="1" applyFont="1" applyFill="1" applyBorder="1" applyAlignment="1">
      <alignment horizontal="center"/>
    </xf>
    <xf numFmtId="49" fontId="1" fillId="0" borderId="26" xfId="1" applyNumberFormat="1" applyFont="1" applyFill="1" applyBorder="1" applyAlignment="1">
      <alignment horizontal="center"/>
    </xf>
    <xf numFmtId="0" fontId="1" fillId="5" borderId="10" xfId="3" applyFont="1" applyFill="1" applyBorder="1" applyAlignment="1">
      <alignment horizontal="center"/>
    </xf>
    <xf numFmtId="0" fontId="1" fillId="5" borderId="6" xfId="3" applyFont="1" applyFill="1" applyBorder="1" applyAlignment="1">
      <alignment horizontal="center" wrapText="1"/>
    </xf>
    <xf numFmtId="164" fontId="1" fillId="0" borderId="5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center"/>
    </xf>
    <xf numFmtId="164" fontId="1" fillId="0" borderId="27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 wrapText="1"/>
    </xf>
    <xf numFmtId="164" fontId="1" fillId="0" borderId="10" xfId="1" applyNumberFormat="1" applyFont="1" applyFill="1" applyBorder="1" applyAlignment="1">
      <alignment horizontal="center" wrapText="1"/>
    </xf>
    <xf numFmtId="164" fontId="1" fillId="0" borderId="27" xfId="1" applyNumberFormat="1" applyFont="1" applyFill="1" applyBorder="1" applyAlignment="1">
      <alignment horizontal="center" wrapText="1"/>
    </xf>
    <xf numFmtId="0" fontId="1" fillId="15" borderId="9" xfId="3" applyFont="1" applyFill="1" applyBorder="1"/>
    <xf numFmtId="38" fontId="1" fillId="10" borderId="28" xfId="1" applyNumberFormat="1" applyFont="1" applyFill="1" applyBorder="1"/>
    <xf numFmtId="164" fontId="1" fillId="15" borderId="29" xfId="1" applyNumberFormat="1" applyFont="1" applyFill="1" applyBorder="1"/>
    <xf numFmtId="164" fontId="1" fillId="15" borderId="30" xfId="1" applyNumberFormat="1" applyFont="1" applyFill="1" applyBorder="1"/>
    <xf numFmtId="164" fontId="1" fillId="15" borderId="31" xfId="1" applyNumberFormat="1" applyFont="1" applyFill="1" applyBorder="1"/>
    <xf numFmtId="0" fontId="1" fillId="16" borderId="0" xfId="3" applyFont="1" applyFill="1" applyBorder="1" applyAlignment="1">
      <alignment horizontal="center"/>
    </xf>
    <xf numFmtId="38" fontId="3" fillId="16" borderId="4" xfId="1" applyNumberFormat="1" applyFont="1" applyFill="1" applyBorder="1"/>
    <xf numFmtId="164" fontId="3" fillId="16" borderId="1" xfId="1" applyNumberFormat="1" applyFont="1" applyFill="1" applyBorder="1"/>
    <xf numFmtId="164" fontId="3" fillId="16" borderId="25" xfId="1" applyNumberFormat="1" applyFont="1" applyFill="1" applyBorder="1"/>
    <xf numFmtId="164" fontId="3" fillId="16" borderId="26" xfId="1" applyNumberFormat="1" applyFont="1" applyFill="1" applyBorder="1"/>
    <xf numFmtId="164" fontId="3" fillId="16" borderId="2" xfId="1" applyNumberFormat="1" applyFont="1" applyFill="1" applyBorder="1"/>
    <xf numFmtId="164" fontId="3" fillId="16" borderId="0" xfId="1" applyNumberFormat="1" applyFont="1" applyFill="1" applyBorder="1"/>
    <xf numFmtId="164" fontId="3" fillId="16" borderId="32" xfId="1" applyNumberFormat="1" applyFont="1" applyFill="1" applyBorder="1"/>
    <xf numFmtId="0" fontId="3" fillId="0" borderId="0" xfId="3" applyFont="1" applyFill="1" applyBorder="1"/>
    <xf numFmtId="38" fontId="1" fillId="10" borderId="4" xfId="1" applyNumberFormat="1" applyFont="1" applyFill="1" applyBorder="1"/>
    <xf numFmtId="164" fontId="3" fillId="0" borderId="2" xfId="1" applyNumberFormat="1" applyFont="1" applyFill="1" applyBorder="1"/>
    <xf numFmtId="164" fontId="3" fillId="0" borderId="0" xfId="1" applyNumberFormat="1" applyFont="1" applyFill="1" applyBorder="1"/>
    <xf numFmtId="164" fontId="3" fillId="0" borderId="32" xfId="1" applyNumberFormat="1" applyFont="1" applyFill="1" applyBorder="1"/>
    <xf numFmtId="164" fontId="3" fillId="0" borderId="0" xfId="1" applyNumberFormat="1" applyFont="1" applyBorder="1" applyAlignment="1">
      <alignment horizontal="right"/>
    </xf>
    <xf numFmtId="164" fontId="3" fillId="0" borderId="32" xfId="1" applyNumberFormat="1" applyFont="1" applyBorder="1" applyAlignment="1">
      <alignment horizontal="right"/>
    </xf>
    <xf numFmtId="164" fontId="3" fillId="0" borderId="32" xfId="1" applyNumberFormat="1" applyFont="1" applyBorder="1"/>
    <xf numFmtId="0" fontId="1" fillId="0" borderId="0" xfId="3" applyFont="1" applyFill="1" applyBorder="1" applyAlignment="1">
      <alignment horizontal="right"/>
    </xf>
    <xf numFmtId="164" fontId="1" fillId="0" borderId="0" xfId="1" applyNumberFormat="1" applyFont="1" applyFill="1" applyBorder="1"/>
    <xf numFmtId="164" fontId="1" fillId="0" borderId="32" xfId="1" applyNumberFormat="1" applyFont="1" applyFill="1" applyBorder="1"/>
    <xf numFmtId="43" fontId="1" fillId="10" borderId="4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0" xfId="1" applyNumberFormat="1" applyFont="1" applyFill="1" applyBorder="1"/>
    <xf numFmtId="164" fontId="4" fillId="0" borderId="32" xfId="1" applyNumberFormat="1" applyFont="1" applyFill="1" applyBorder="1"/>
    <xf numFmtId="164" fontId="1" fillId="0" borderId="2" xfId="1" applyNumberFormat="1" applyFont="1" applyFill="1" applyBorder="1"/>
    <xf numFmtId="0" fontId="3" fillId="0" borderId="0" xfId="3" applyFont="1" applyBorder="1"/>
    <xf numFmtId="164" fontId="3" fillId="0" borderId="5" xfId="1" applyNumberFormat="1" applyFont="1" applyFill="1" applyBorder="1"/>
    <xf numFmtId="164" fontId="3" fillId="0" borderId="10" xfId="1" applyNumberFormat="1" applyFont="1" applyFill="1" applyBorder="1"/>
    <xf numFmtId="164" fontId="3" fillId="0" borderId="27" xfId="1" applyNumberFormat="1" applyFont="1" applyFill="1" applyBorder="1"/>
    <xf numFmtId="0" fontId="13" fillId="0" borderId="0" xfId="0" applyFont="1" applyBorder="1"/>
    <xf numFmtId="0" fontId="2" fillId="16" borderId="29" xfId="3" applyFont="1" applyFill="1" applyBorder="1" applyAlignment="1">
      <alignment horizontal="right"/>
    </xf>
    <xf numFmtId="38" fontId="2" fillId="16" borderId="33" xfId="1" applyNumberFormat="1" applyFont="1" applyFill="1" applyBorder="1"/>
    <xf numFmtId="164" fontId="2" fillId="16" borderId="5" xfId="1" applyNumberFormat="1" applyFont="1" applyFill="1" applyBorder="1"/>
    <xf numFmtId="164" fontId="2" fillId="16" borderId="10" xfId="1" applyNumberFormat="1" applyFont="1" applyFill="1" applyBorder="1"/>
    <xf numFmtId="164" fontId="2" fillId="16" borderId="27" xfId="1" applyNumberFormat="1" applyFont="1" applyFill="1" applyBorder="1"/>
    <xf numFmtId="164" fontId="2" fillId="16" borderId="31" xfId="1" applyNumberFormat="1" applyFont="1" applyFill="1" applyBorder="1"/>
    <xf numFmtId="164" fontId="2" fillId="16" borderId="29" xfId="1" applyNumberFormat="1" applyFont="1" applyFill="1" applyBorder="1"/>
    <xf numFmtId="164" fontId="2" fillId="16" borderId="30" xfId="1" applyNumberFormat="1" applyFont="1" applyFill="1" applyBorder="1"/>
    <xf numFmtId="0" fontId="3" fillId="45" borderId="9" xfId="3" applyFont="1" applyFill="1" applyBorder="1"/>
    <xf numFmtId="9" fontId="1" fillId="45" borderId="28" xfId="2" applyFont="1" applyFill="1" applyBorder="1"/>
    <xf numFmtId="9" fontId="3" fillId="45" borderId="9" xfId="2" applyFont="1" applyFill="1" applyBorder="1"/>
    <xf numFmtId="9" fontId="3" fillId="45" borderId="34" xfId="2" applyFont="1" applyFill="1" applyBorder="1"/>
    <xf numFmtId="9" fontId="3" fillId="45" borderId="35" xfId="2" applyFont="1" applyFill="1" applyBorder="1"/>
    <xf numFmtId="0" fontId="1" fillId="4" borderId="0" xfId="3" applyFont="1" applyFill="1" applyBorder="1" applyAlignment="1">
      <alignment horizontal="center"/>
    </xf>
    <xf numFmtId="38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3" fillId="4" borderId="0" xfId="1" applyNumberFormat="1" applyFont="1" applyFill="1" applyBorder="1"/>
    <xf numFmtId="164" fontId="3" fillId="4" borderId="32" xfId="1" applyNumberFormat="1" applyFont="1" applyFill="1" applyBorder="1"/>
    <xf numFmtId="164" fontId="1" fillId="10" borderId="4" xfId="1" applyNumberFormat="1" applyFont="1" applyFill="1" applyBorder="1"/>
    <xf numFmtId="0" fontId="3" fillId="0" borderId="0" xfId="3" applyBorder="1"/>
    <xf numFmtId="0" fontId="1" fillId="4" borderId="29" xfId="3" applyFont="1" applyFill="1" applyBorder="1" applyAlignment="1">
      <alignment horizontal="right"/>
    </xf>
    <xf numFmtId="38" fontId="1" fillId="4" borderId="33" xfId="1" applyNumberFormat="1" applyFont="1" applyFill="1" applyBorder="1"/>
    <xf numFmtId="164" fontId="1" fillId="4" borderId="31" xfId="1" applyNumberFormat="1" applyFont="1" applyFill="1" applyBorder="1"/>
    <xf numFmtId="164" fontId="1" fillId="4" borderId="29" xfId="1" applyNumberFormat="1" applyFont="1" applyFill="1" applyBorder="1"/>
    <xf numFmtId="164" fontId="1" fillId="4" borderId="30" xfId="1" applyNumberFormat="1" applyFont="1" applyFill="1" applyBorder="1"/>
    <xf numFmtId="0" fontId="1" fillId="20" borderId="0" xfId="3" applyFont="1" applyFill="1" applyBorder="1" applyAlignment="1">
      <alignment horizontal="center"/>
    </xf>
    <xf numFmtId="38" fontId="3" fillId="20" borderId="4" xfId="1" applyNumberFormat="1" applyFont="1" applyFill="1" applyBorder="1"/>
    <xf numFmtId="164" fontId="3" fillId="20" borderId="2" xfId="1" applyNumberFormat="1" applyFont="1" applyFill="1" applyBorder="1"/>
    <xf numFmtId="164" fontId="3" fillId="20" borderId="0" xfId="1" applyNumberFormat="1" applyFont="1" applyFill="1" applyBorder="1"/>
    <xf numFmtId="164" fontId="3" fillId="20" borderId="32" xfId="1" applyNumberFormat="1" applyFont="1" applyFill="1" applyBorder="1"/>
    <xf numFmtId="0" fontId="3" fillId="0" borderId="0" xfId="3" applyFill="1" applyBorder="1"/>
    <xf numFmtId="0" fontId="1" fillId="20" borderId="29" xfId="3" applyFont="1" applyFill="1" applyBorder="1" applyAlignment="1">
      <alignment horizontal="right"/>
    </xf>
    <xf numFmtId="38" fontId="1" fillId="20" borderId="33" xfId="1" applyNumberFormat="1" applyFont="1" applyFill="1" applyBorder="1"/>
    <xf numFmtId="164" fontId="1" fillId="20" borderId="31" xfId="1" applyNumberFormat="1" applyFont="1" applyFill="1" applyBorder="1"/>
    <xf numFmtId="164" fontId="1" fillId="20" borderId="29" xfId="1" applyNumberFormat="1" applyFont="1" applyFill="1" applyBorder="1"/>
    <xf numFmtId="164" fontId="1" fillId="20" borderId="30" xfId="1" applyNumberFormat="1" applyFont="1" applyFill="1" applyBorder="1"/>
    <xf numFmtId="0" fontId="1" fillId="19" borderId="9" xfId="3" applyFont="1" applyFill="1" applyBorder="1" applyAlignment="1">
      <alignment horizontal="right"/>
    </xf>
    <xf numFmtId="38" fontId="1" fillId="19" borderId="28" xfId="1" applyNumberFormat="1" applyFont="1" applyFill="1" applyBorder="1"/>
    <xf numFmtId="164" fontId="1" fillId="19" borderId="9" xfId="1" applyNumberFormat="1" applyFont="1" applyFill="1" applyBorder="1"/>
    <xf numFmtId="164" fontId="1" fillId="19" borderId="34" xfId="1" applyNumberFormat="1" applyFont="1" applyFill="1" applyBorder="1"/>
    <xf numFmtId="164" fontId="1" fillId="19" borderId="35" xfId="1" applyNumberFormat="1" applyFont="1" applyFill="1" applyBorder="1"/>
    <xf numFmtId="0" fontId="1" fillId="45" borderId="0" xfId="3" applyFont="1" applyFill="1" applyBorder="1" applyAlignment="1">
      <alignment horizontal="right"/>
    </xf>
    <xf numFmtId="9" fontId="1" fillId="45" borderId="4" xfId="2" applyFont="1" applyFill="1" applyBorder="1"/>
    <xf numFmtId="9" fontId="1" fillId="45" borderId="2" xfId="2" applyFont="1" applyFill="1" applyBorder="1"/>
    <xf numFmtId="9" fontId="1" fillId="45" borderId="0" xfId="2" applyFont="1" applyFill="1" applyBorder="1"/>
    <xf numFmtId="9" fontId="1" fillId="45" borderId="32" xfId="2" applyFont="1" applyFill="1" applyBorder="1"/>
    <xf numFmtId="9" fontId="1" fillId="45" borderId="0" xfId="2" applyNumberFormat="1" applyFont="1" applyFill="1" applyBorder="1"/>
    <xf numFmtId="0" fontId="1" fillId="46" borderId="0" xfId="3" applyFont="1" applyFill="1" applyBorder="1" applyAlignment="1">
      <alignment horizontal="center"/>
    </xf>
    <xf numFmtId="38" fontId="1" fillId="46" borderId="4" xfId="1" applyNumberFormat="1" applyFont="1" applyFill="1" applyBorder="1"/>
    <xf numFmtId="164" fontId="1" fillId="46" borderId="2" xfId="1" applyNumberFormat="1" applyFont="1" applyFill="1" applyBorder="1"/>
    <xf numFmtId="164" fontId="1" fillId="46" borderId="0" xfId="1" applyNumberFormat="1" applyFont="1" applyFill="1" applyBorder="1"/>
    <xf numFmtId="164" fontId="1" fillId="46" borderId="32" xfId="1" applyNumberFormat="1" applyFont="1" applyFill="1" applyBorder="1"/>
    <xf numFmtId="0" fontId="1" fillId="46" borderId="29" xfId="3" applyFont="1" applyFill="1" applyBorder="1" applyAlignment="1">
      <alignment horizontal="right"/>
    </xf>
    <xf numFmtId="38" fontId="1" fillId="46" borderId="33" xfId="1" applyNumberFormat="1" applyFont="1" applyFill="1" applyBorder="1"/>
    <xf numFmtId="164" fontId="1" fillId="46" borderId="31" xfId="1" applyNumberFormat="1" applyFont="1" applyFill="1" applyBorder="1"/>
    <xf numFmtId="164" fontId="1" fillId="46" borderId="29" xfId="1" applyNumberFormat="1" applyFont="1" applyFill="1" applyBorder="1"/>
    <xf numFmtId="164" fontId="1" fillId="46" borderId="30" xfId="1" applyNumberFormat="1" applyFont="1" applyFill="1" applyBorder="1"/>
    <xf numFmtId="0" fontId="1" fillId="21" borderId="0" xfId="3" applyFont="1" applyFill="1" applyBorder="1" applyAlignment="1">
      <alignment horizontal="center"/>
    </xf>
    <xf numFmtId="38" fontId="1" fillId="21" borderId="4" xfId="1" applyNumberFormat="1" applyFont="1" applyFill="1" applyBorder="1"/>
    <xf numFmtId="164" fontId="3" fillId="21" borderId="2" xfId="1" applyNumberFormat="1" applyFont="1" applyFill="1" applyBorder="1"/>
    <xf numFmtId="164" fontId="3" fillId="21" borderId="0" xfId="1" applyNumberFormat="1" applyFont="1" applyFill="1" applyBorder="1"/>
    <xf numFmtId="164" fontId="3" fillId="21" borderId="32" xfId="1" applyNumberFormat="1" applyFont="1" applyFill="1" applyBorder="1"/>
    <xf numFmtId="0" fontId="1" fillId="21" borderId="29" xfId="3" applyFont="1" applyFill="1" applyBorder="1" applyAlignment="1">
      <alignment horizontal="right"/>
    </xf>
    <xf numFmtId="38" fontId="1" fillId="21" borderId="33" xfId="1" applyNumberFormat="1" applyFont="1" applyFill="1" applyBorder="1"/>
    <xf numFmtId="164" fontId="1" fillId="21" borderId="31" xfId="1" applyNumberFormat="1" applyFont="1" applyFill="1" applyBorder="1"/>
    <xf numFmtId="164" fontId="1" fillId="21" borderId="29" xfId="1" applyNumberFormat="1" applyFont="1" applyFill="1" applyBorder="1"/>
    <xf numFmtId="164" fontId="1" fillId="21" borderId="30" xfId="1" applyNumberFormat="1" applyFont="1" applyFill="1" applyBorder="1"/>
    <xf numFmtId="38" fontId="1" fillId="19" borderId="0" xfId="1" applyNumberFormat="1" applyFont="1" applyFill="1" applyBorder="1"/>
    <xf numFmtId="38" fontId="1" fillId="19" borderId="4" xfId="1" applyNumberFormat="1" applyFont="1" applyFill="1" applyBorder="1"/>
    <xf numFmtId="38" fontId="1" fillId="19" borderId="2" xfId="1" applyNumberFormat="1" applyFont="1" applyFill="1" applyBorder="1"/>
    <xf numFmtId="38" fontId="1" fillId="19" borderId="32" xfId="1" applyNumberFormat="1" applyFont="1" applyFill="1" applyBorder="1"/>
    <xf numFmtId="164" fontId="1" fillId="19" borderId="2" xfId="1" applyNumberFormat="1" applyFont="1" applyFill="1" applyBorder="1"/>
    <xf numFmtId="164" fontId="1" fillId="19" borderId="0" xfId="1" applyNumberFormat="1" applyFont="1" applyFill="1" applyBorder="1"/>
    <xf numFmtId="164" fontId="1" fillId="19" borderId="32" xfId="1" applyNumberFormat="1" applyFont="1" applyFill="1" applyBorder="1"/>
    <xf numFmtId="38" fontId="0" fillId="0" borderId="0" xfId="1" applyNumberFormat="1" applyFont="1" applyBorder="1"/>
    <xf numFmtId="38" fontId="1" fillId="22" borderId="0" xfId="3" applyNumberFormat="1" applyFont="1" applyFill="1" applyBorder="1" applyAlignment="1">
      <alignment horizontal="center"/>
    </xf>
    <xf numFmtId="38" fontId="3" fillId="22" borderId="4" xfId="1" applyNumberFormat="1" applyFont="1" applyFill="1" applyBorder="1"/>
    <xf numFmtId="38" fontId="3" fillId="22" borderId="2" xfId="1" applyNumberFormat="1" applyFont="1" applyFill="1" applyBorder="1"/>
    <xf numFmtId="38" fontId="3" fillId="22" borderId="0" xfId="1" applyNumberFormat="1" applyFont="1" applyFill="1" applyBorder="1"/>
    <xf numFmtId="38" fontId="3" fillId="22" borderId="32" xfId="1" applyNumberFormat="1" applyFont="1" applyFill="1" applyBorder="1"/>
    <xf numFmtId="38" fontId="0" fillId="0" borderId="0" xfId="0" applyNumberFormat="1" applyBorder="1"/>
    <xf numFmtId="38" fontId="3" fillId="0" borderId="0" xfId="3" applyNumberFormat="1" applyFont="1" applyBorder="1"/>
    <xf numFmtId="38" fontId="3" fillId="0" borderId="2" xfId="1" applyNumberFormat="1" applyFont="1" applyFill="1" applyBorder="1"/>
    <xf numFmtId="38" fontId="3" fillId="0" borderId="0" xfId="1" applyNumberFormat="1" applyFont="1" applyFill="1" applyBorder="1"/>
    <xf numFmtId="38" fontId="3" fillId="0" borderId="32" xfId="1" applyNumberFormat="1" applyFont="1" applyFill="1" applyBorder="1"/>
    <xf numFmtId="38" fontId="4" fillId="0" borderId="2" xfId="1" applyNumberFormat="1" applyFont="1" applyFill="1" applyBorder="1"/>
    <xf numFmtId="38" fontId="3" fillId="0" borderId="32" xfId="1" applyNumberFormat="1" applyFont="1" applyBorder="1"/>
    <xf numFmtId="38" fontId="3" fillId="0" borderId="0" xfId="3" applyNumberFormat="1" applyFont="1" applyBorder="1" applyAlignment="1">
      <alignment horizontal="right"/>
    </xf>
    <xf numFmtId="38" fontId="3" fillId="0" borderId="0" xfId="3" applyNumberFormat="1" applyBorder="1"/>
    <xf numFmtId="38" fontId="1" fillId="22" borderId="24" xfId="3" applyNumberFormat="1" applyFont="1" applyFill="1" applyBorder="1"/>
    <xf numFmtId="38" fontId="1" fillId="22" borderId="36" xfId="1" applyNumberFormat="1" applyFont="1" applyFill="1" applyBorder="1"/>
    <xf numFmtId="38" fontId="1" fillId="22" borderId="37" xfId="1" applyNumberFormat="1" applyFont="1" applyFill="1" applyBorder="1"/>
    <xf numFmtId="38" fontId="1" fillId="22" borderId="24" xfId="1" applyNumberFormat="1" applyFont="1" applyFill="1" applyBorder="1"/>
    <xf numFmtId="38" fontId="1" fillId="22" borderId="38" xfId="1" applyNumberFormat="1" applyFont="1" applyFill="1" applyBorder="1"/>
    <xf numFmtId="43" fontId="1" fillId="22" borderId="37" xfId="1" applyFont="1" applyFill="1" applyBorder="1"/>
    <xf numFmtId="43" fontId="1" fillId="22" borderId="24" xfId="1" applyFont="1" applyFill="1" applyBorder="1"/>
    <xf numFmtId="43" fontId="1" fillId="22" borderId="38" xfId="1" applyFont="1" applyFill="1" applyBorder="1"/>
    <xf numFmtId="38" fontId="1" fillId="19" borderId="39" xfId="3" applyNumberFormat="1" applyFont="1" applyFill="1" applyBorder="1"/>
    <xf numFmtId="38" fontId="1" fillId="0" borderId="40" xfId="1" applyNumberFormat="1" applyFont="1" applyBorder="1"/>
    <xf numFmtId="38" fontId="1" fillId="0" borderId="31" xfId="1" applyNumberFormat="1" applyFont="1" applyBorder="1"/>
    <xf numFmtId="38" fontId="1" fillId="0" borderId="29" xfId="1" applyNumberFormat="1" applyFont="1" applyBorder="1"/>
    <xf numFmtId="38" fontId="1" fillId="0" borderId="30" xfId="1" applyNumberFormat="1" applyFont="1" applyBorder="1"/>
    <xf numFmtId="164" fontId="0" fillId="0" borderId="0" xfId="1" applyNumberFormat="1" applyFont="1" applyBorder="1"/>
    <xf numFmtId="165" fontId="0" fillId="0" borderId="0" xfId="2" applyNumberFormat="1" applyFont="1" applyBorder="1"/>
    <xf numFmtId="164" fontId="0" fillId="0" borderId="0" xfId="0" applyNumberFormat="1" applyBorder="1"/>
    <xf numFmtId="164" fontId="3" fillId="0" borderId="41" xfId="1" applyNumberFormat="1" applyFont="1" applyFill="1" applyBorder="1"/>
    <xf numFmtId="0" fontId="10" fillId="6" borderId="3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4" xfId="0" applyFont="1" applyBorder="1"/>
    <xf numFmtId="0" fontId="7" fillId="7" borderId="6" xfId="0" applyFont="1" applyFill="1" applyBorder="1" applyAlignment="1">
      <alignment horizontal="left"/>
    </xf>
    <xf numFmtId="0" fontId="10" fillId="13" borderId="4" xfId="0" applyFont="1" applyFill="1" applyBorder="1" applyAlignment="1">
      <alignment horizontal="left"/>
    </xf>
    <xf numFmtId="0" fontId="7" fillId="9" borderId="3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10" fillId="5" borderId="4" xfId="0" applyFont="1" applyFill="1" applyBorder="1"/>
    <xf numFmtId="0" fontId="10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left"/>
    </xf>
    <xf numFmtId="0" fontId="7" fillId="11" borderId="8" xfId="0" applyFont="1" applyFill="1" applyBorder="1"/>
    <xf numFmtId="0" fontId="0" fillId="0" borderId="0" xfId="0" applyAlignment="1">
      <alignment wrapText="1"/>
    </xf>
    <xf numFmtId="0" fontId="7" fillId="47" borderId="4" xfId="0" applyFont="1" applyFill="1" applyBorder="1"/>
    <xf numFmtId="38" fontId="9" fillId="47" borderId="4" xfId="0" applyNumberFormat="1" applyFont="1" applyFill="1" applyBorder="1"/>
    <xf numFmtId="38" fontId="1" fillId="10" borderId="42" xfId="1" applyNumberFormat="1" applyFont="1" applyFill="1" applyBorder="1"/>
    <xf numFmtId="38" fontId="3" fillId="0" borderId="43" xfId="1" applyNumberFormat="1" applyFont="1" applyFill="1" applyBorder="1"/>
    <xf numFmtId="0" fontId="12" fillId="0" borderId="11" xfId="0" applyFont="1" applyBorder="1" applyAlignment="1">
      <alignment wrapText="1"/>
    </xf>
    <xf numFmtId="38" fontId="1" fillId="10" borderId="11" xfId="1" applyNumberFormat="1" applyFont="1" applyFill="1" applyBorder="1"/>
    <xf numFmtId="3" fontId="12" fillId="0" borderId="11" xfId="0" applyNumberFormat="1" applyFont="1" applyBorder="1" applyAlignment="1">
      <alignment horizontal="right" wrapText="1"/>
    </xf>
    <xf numFmtId="38" fontId="4" fillId="0" borderId="44" xfId="1" applyNumberFormat="1" applyFont="1" applyFill="1" applyBorder="1"/>
    <xf numFmtId="6" fontId="12" fillId="0" borderId="11" xfId="0" applyNumberFormat="1" applyFont="1" applyBorder="1" applyAlignment="1">
      <alignment horizontal="right" wrapText="1"/>
    </xf>
    <xf numFmtId="0" fontId="14" fillId="23" borderId="11" xfId="0" applyFont="1" applyFill="1" applyBorder="1" applyAlignment="1">
      <alignment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right" wrapText="1"/>
    </xf>
    <xf numFmtId="38" fontId="1" fillId="10" borderId="45" xfId="1" applyNumberFormat="1" applyFont="1" applyFill="1" applyBorder="1"/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0" xfId="0" applyBorder="1" applyAlignment="1">
      <alignment vertical="justify" wrapText="1"/>
    </xf>
    <xf numFmtId="0" fontId="36" fillId="0" borderId="49" xfId="0" applyFont="1" applyBorder="1"/>
    <xf numFmtId="0" fontId="36" fillId="0" borderId="42" xfId="0" applyFont="1" applyBorder="1"/>
    <xf numFmtId="49" fontId="1" fillId="0" borderId="1" xfId="1" applyNumberFormat="1" applyFont="1" applyFill="1" applyBorder="1" applyAlignment="1">
      <alignment horizontal="center" wrapText="1"/>
    </xf>
    <xf numFmtId="49" fontId="1" fillId="0" borderId="25" xfId="1" applyNumberFormat="1" applyFont="1" applyFill="1" applyBorder="1" applyAlignment="1">
      <alignment horizontal="center" wrapText="1"/>
    </xf>
    <xf numFmtId="49" fontId="1" fillId="0" borderId="26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/>
    </xf>
    <xf numFmtId="49" fontId="2" fillId="0" borderId="25" xfId="1" applyNumberFormat="1" applyFont="1" applyFill="1" applyBorder="1" applyAlignment="1">
      <alignment horizontal="center"/>
    </xf>
    <xf numFmtId="49" fontId="2" fillId="0" borderId="26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49" fontId="1" fillId="0" borderId="25" xfId="1" applyNumberFormat="1" applyFont="1" applyFill="1" applyBorder="1" applyAlignment="1">
      <alignment horizontal="center"/>
    </xf>
    <xf numFmtId="49" fontId="1" fillId="0" borderId="26" xfId="1" applyNumberFormat="1" applyFont="1" applyFill="1" applyBorder="1" applyAlignment="1">
      <alignment horizontal="center"/>
    </xf>
  </cellXfs>
  <cellStyles count="147">
    <cellStyle name="20% - Accent1 2" xfId="4"/>
    <cellStyle name="20% - Accent1 3" xfId="5"/>
    <cellStyle name="20% - Accent1 4" xfId="6"/>
    <cellStyle name="20% - Accent2 2" xfId="7"/>
    <cellStyle name="20% - Accent2 3" xfId="8"/>
    <cellStyle name="20% - Accent2 4" xfId="9"/>
    <cellStyle name="20% - Accent3 2" xfId="10"/>
    <cellStyle name="20% - Accent3 3" xfId="11"/>
    <cellStyle name="20% - Accent3 4" xfId="12"/>
    <cellStyle name="20% - Accent4 2" xfId="13"/>
    <cellStyle name="20% - Accent4 3" xfId="14"/>
    <cellStyle name="20% - Accent4 4" xfId="15"/>
    <cellStyle name="20% - Accent5 2" xfId="16"/>
    <cellStyle name="20% - Accent5 3" xfId="17"/>
    <cellStyle name="20% - Accent5 4" xfId="18"/>
    <cellStyle name="20% - Accent6 2" xfId="19"/>
    <cellStyle name="20% - Accent6 3" xfId="20"/>
    <cellStyle name="20% - Accent6 4" xfId="21"/>
    <cellStyle name="40% - Accent1 2" xfId="22"/>
    <cellStyle name="40% - Accent1 3" xfId="23"/>
    <cellStyle name="40% - Accent1 4" xfId="24"/>
    <cellStyle name="40% - Accent2 2" xfId="25"/>
    <cellStyle name="40% - Accent2 3" xfId="26"/>
    <cellStyle name="40% - Accent2 4" xfId="27"/>
    <cellStyle name="40% - Accent3 2" xfId="28"/>
    <cellStyle name="40% - Accent3 3" xfId="29"/>
    <cellStyle name="40% - Accent3 4" xfId="30"/>
    <cellStyle name="40% - Accent4 2" xfId="31"/>
    <cellStyle name="40% - Accent4 3" xfId="32"/>
    <cellStyle name="40% - Accent4 4" xfId="33"/>
    <cellStyle name="40% - Accent5 2" xfId="34"/>
    <cellStyle name="40% - Accent5 3" xfId="35"/>
    <cellStyle name="40% - Accent5 4" xfId="36"/>
    <cellStyle name="40% - Accent6 2" xfId="37"/>
    <cellStyle name="40% - Accent6 3" xfId="38"/>
    <cellStyle name="40% - Accent6 4" xfId="39"/>
    <cellStyle name="60% - Accent1 2" xfId="40"/>
    <cellStyle name="60% - Accent1 3" xfId="41"/>
    <cellStyle name="60% - Accent1 4" xfId="42"/>
    <cellStyle name="60% - Accent2 2" xfId="43"/>
    <cellStyle name="60% - Accent2 3" xfId="44"/>
    <cellStyle name="60% - Accent2 4" xfId="45"/>
    <cellStyle name="60% - Accent3 2" xfId="46"/>
    <cellStyle name="60% - Accent3 3" xfId="47"/>
    <cellStyle name="60% - Accent3 4" xfId="48"/>
    <cellStyle name="60% - Accent4 2" xfId="49"/>
    <cellStyle name="60% - Accent4 3" xfId="50"/>
    <cellStyle name="60% - Accent4 4" xfId="51"/>
    <cellStyle name="60% - Accent5 2" xfId="52"/>
    <cellStyle name="60% - Accent5 3" xfId="53"/>
    <cellStyle name="60% - Accent5 4" xfId="54"/>
    <cellStyle name="60% - Accent6 2" xfId="55"/>
    <cellStyle name="60% - Accent6 3" xfId="56"/>
    <cellStyle name="60% - Accent6 4" xfId="57"/>
    <cellStyle name="Accent1 2" xfId="58"/>
    <cellStyle name="Accent1 3" xfId="59"/>
    <cellStyle name="Accent1 4" xfId="60"/>
    <cellStyle name="Accent2 2" xfId="61"/>
    <cellStyle name="Accent2 3" xfId="62"/>
    <cellStyle name="Accent2 4" xfId="63"/>
    <cellStyle name="Accent3 2" xfId="64"/>
    <cellStyle name="Accent3 3" xfId="65"/>
    <cellStyle name="Accent3 4" xfId="66"/>
    <cellStyle name="Accent4 2" xfId="67"/>
    <cellStyle name="Accent4 3" xfId="68"/>
    <cellStyle name="Accent4 4" xfId="69"/>
    <cellStyle name="Accent5 2" xfId="70"/>
    <cellStyle name="Accent5 3" xfId="71"/>
    <cellStyle name="Accent5 4" xfId="72"/>
    <cellStyle name="Accent6 2" xfId="73"/>
    <cellStyle name="Accent6 3" xfId="74"/>
    <cellStyle name="Accent6 4" xfId="75"/>
    <cellStyle name="Bad 2" xfId="76"/>
    <cellStyle name="Bad 3" xfId="77"/>
    <cellStyle name="Bad 4" xfId="78"/>
    <cellStyle name="Calculation 2" xfId="79"/>
    <cellStyle name="Calculation 3" xfId="80"/>
    <cellStyle name="Calculation 4" xfId="81"/>
    <cellStyle name="Check Cell 2" xfId="82"/>
    <cellStyle name="Check Cell 3" xfId="83"/>
    <cellStyle name="Check Cell 4" xfId="84"/>
    <cellStyle name="Comma" xfId="1" builtinId="3"/>
    <cellStyle name="Comma 2" xfId="85"/>
    <cellStyle name="Comma 3" xfId="86"/>
    <cellStyle name="Comma 4" xfId="87"/>
    <cellStyle name="Currency 2" xfId="88"/>
    <cellStyle name="Currency 3" xfId="89"/>
    <cellStyle name="Explanatory Text 2" xfId="90"/>
    <cellStyle name="Explanatory Text 3" xfId="91"/>
    <cellStyle name="Explanatory Text 4" xfId="92"/>
    <cellStyle name="Good 2" xfId="93"/>
    <cellStyle name="Good 3" xfId="94"/>
    <cellStyle name="Good 4" xfId="95"/>
    <cellStyle name="Heading 1 2" xfId="96"/>
    <cellStyle name="Heading 1 3" xfId="97"/>
    <cellStyle name="Heading 1 4" xfId="98"/>
    <cellStyle name="Heading 2 2" xfId="99"/>
    <cellStyle name="Heading 2 3" xfId="100"/>
    <cellStyle name="Heading 2 4" xfId="101"/>
    <cellStyle name="Heading 3 2" xfId="102"/>
    <cellStyle name="Heading 3 3" xfId="103"/>
    <cellStyle name="Heading 3 4" xfId="104"/>
    <cellStyle name="Heading 4 2" xfId="105"/>
    <cellStyle name="Heading 4 3" xfId="106"/>
    <cellStyle name="Heading 4 4" xfId="107"/>
    <cellStyle name="Input 2" xfId="108"/>
    <cellStyle name="Input 3" xfId="109"/>
    <cellStyle name="Input 4" xfId="110"/>
    <cellStyle name="Linked Cell 2" xfId="111"/>
    <cellStyle name="Linked Cell 3" xfId="112"/>
    <cellStyle name="Linked Cell 4" xfId="113"/>
    <cellStyle name="Neutral 2" xfId="114"/>
    <cellStyle name="Neutral 3" xfId="115"/>
    <cellStyle name="Neutral 4" xfId="116"/>
    <cellStyle name="Normal" xfId="0" builtinId="0"/>
    <cellStyle name="Normal 10" xfId="117"/>
    <cellStyle name="Normal 11" xfId="118"/>
    <cellStyle name="Normal 2" xfId="3"/>
    <cellStyle name="Normal 2 2" xfId="119"/>
    <cellStyle name="Normal 3" xfId="120"/>
    <cellStyle name="Normal 3 2" xfId="121"/>
    <cellStyle name="Normal 3 3" xfId="122"/>
    <cellStyle name="Normal 4" xfId="123"/>
    <cellStyle name="Normal 4 2" xfId="124"/>
    <cellStyle name="Normal 5" xfId="125"/>
    <cellStyle name="Normal 5 2" xfId="126"/>
    <cellStyle name="Normal 6" xfId="127"/>
    <cellStyle name="Normal 7" xfId="128"/>
    <cellStyle name="Normal 8" xfId="129"/>
    <cellStyle name="Normal 9" xfId="130"/>
    <cellStyle name="Note 2" xfId="131"/>
    <cellStyle name="Note 3" xfId="132"/>
    <cellStyle name="Note 4" xfId="133"/>
    <cellStyle name="Output 2" xfId="134"/>
    <cellStyle name="Output 3" xfId="135"/>
    <cellStyle name="Output 4" xfId="136"/>
    <cellStyle name="Percent" xfId="2" builtinId="5"/>
    <cellStyle name="Percent 2" xfId="137"/>
    <cellStyle name="Title 2" xfId="138"/>
    <cellStyle name="Title 3" xfId="139"/>
    <cellStyle name="Title 4" xfId="140"/>
    <cellStyle name="Total 2" xfId="141"/>
    <cellStyle name="Total 3" xfId="142"/>
    <cellStyle name="Total 4" xfId="143"/>
    <cellStyle name="Warning Text 2" xfId="144"/>
    <cellStyle name="Warning Text 3" xfId="145"/>
    <cellStyle name="Warning Text 4" xfId="146"/>
  </cellStyles>
  <dxfs count="7">
    <dxf>
      <alignment horizontal="general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general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general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border diagonalUp="0" diagonalDown="0">
        <left style="thin">
          <color auto="1"/>
        </left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35B1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kracine\Downloads\R5%20MB%20FY16%20Actu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kracine\Downloads\R5%20MB%20FY16%20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7-18 Projections Summaries"/>
      <sheetName val="FY16 Projections detail"/>
      <sheetName val=" salary by program 20141210"/>
      <sheetName val="1. Program Staff"/>
      <sheetName val="Grade-Step"/>
      <sheetName val="Labor fy15 PIVOT"/>
      <sheetName val="Personnel Report"/>
      <sheetName val="salary"/>
      <sheetName val="benefit %"/>
      <sheetName val="Sheet1"/>
      <sheetName val="FY17 Step Increases"/>
      <sheetName val="FY17 Labor"/>
      <sheetName val="FY17-18 Projections Summari (2"/>
    </sheetNames>
    <sheetDataSet>
      <sheetData sheetId="0"/>
      <sheetData sheetId="1"/>
      <sheetData sheetId="2"/>
      <sheetData sheetId="3">
        <row r="14">
          <cell r="R14">
            <v>101662.47818999999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7-18 Projections Summaries"/>
      <sheetName val="FY16 Projections detail"/>
      <sheetName val=" salary by program 20141210"/>
      <sheetName val="1. Program Staff"/>
      <sheetName val="Grade-Step"/>
      <sheetName val="Labor fy15 PIVOT"/>
      <sheetName val="Personnel Report"/>
      <sheetName val="salary"/>
      <sheetName val="benefit %"/>
      <sheetName val="Sheet1"/>
      <sheetName val="FY17 Step Increases"/>
      <sheetName val="FY17 Labor"/>
      <sheetName val="FY17-18 Projections Summari (2"/>
    </sheetNames>
    <sheetDataSet>
      <sheetData sheetId="0"/>
      <sheetData sheetId="1">
        <row r="3">
          <cell r="C3">
            <v>1130161.04</v>
          </cell>
          <cell r="D3">
            <v>385994.23999999999</v>
          </cell>
          <cell r="F3">
            <v>276434</v>
          </cell>
        </row>
      </sheetData>
      <sheetData sheetId="2"/>
      <sheetData sheetId="3"/>
      <sheetData sheetId="4"/>
      <sheetData sheetId="5"/>
      <sheetData sheetId="6"/>
      <sheetData sheetId="7">
        <row r="45">
          <cell r="P45">
            <v>49705.183249488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id="1" name="Table1" displayName="Table1" ref="A1:G8" totalsRowShown="0">
  <autoFilter ref="A1:G8"/>
  <tableColumns count="7">
    <tableColumn id="1" name="Info" dataDxfId="6"/>
    <tableColumn id="4" name="2017" dataDxfId="5"/>
    <tableColumn id="7" name="2018" dataDxfId="4"/>
    <tableColumn id="5" name="2019" dataDxfId="3"/>
    <tableColumn id="8" name="2020" dataDxfId="2"/>
    <tableColumn id="2" name="2021" dataDxfId="1"/>
    <tableColumn id="3" name="202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abSelected="1" zoomScale="90" zoomScaleNormal="90" workbookViewId="0">
      <selection activeCell="H8" sqref="H8"/>
    </sheetView>
  </sheetViews>
  <sheetFormatPr defaultRowHeight="15" x14ac:dyDescent="0.25"/>
  <cols>
    <col min="1" max="1" width="47" customWidth="1"/>
    <col min="2" max="2" width="17.28515625" style="1" hidden="1" customWidth="1"/>
    <col min="3" max="3" width="17.85546875" style="1" hidden="1" customWidth="1"/>
    <col min="4" max="4" width="16.85546875" style="1" hidden="1" customWidth="1"/>
    <col min="5" max="5" width="16.85546875" style="4" customWidth="1"/>
    <col min="6" max="8" width="17.28515625" customWidth="1"/>
  </cols>
  <sheetData>
    <row r="1" spans="1:17" ht="24" thickBot="1" x14ac:dyDescent="0.4">
      <c r="A1" s="7"/>
      <c r="B1" s="8" t="s">
        <v>33</v>
      </c>
      <c r="C1" s="8" t="s">
        <v>37</v>
      </c>
      <c r="D1" s="8" t="s">
        <v>38</v>
      </c>
      <c r="E1" s="8" t="s">
        <v>229</v>
      </c>
      <c r="F1" s="8" t="s">
        <v>233</v>
      </c>
      <c r="G1" s="8" t="s">
        <v>244</v>
      </c>
      <c r="H1" s="8" t="s">
        <v>245</v>
      </c>
    </row>
    <row r="2" spans="1:17" ht="23.25" x14ac:dyDescent="0.35">
      <c r="A2" s="249" t="s">
        <v>2</v>
      </c>
      <c r="B2" s="9">
        <v>816759</v>
      </c>
      <c r="C2" s="9">
        <v>826884</v>
      </c>
      <c r="D2" s="9">
        <v>825577</v>
      </c>
      <c r="E2" s="9">
        <v>814792</v>
      </c>
      <c r="F2" s="9">
        <v>905766</v>
      </c>
      <c r="G2" s="9">
        <f>F2*97%</f>
        <v>878593.02</v>
      </c>
      <c r="H2" s="9">
        <f>G2*97%</f>
        <v>852235.22939999995</v>
      </c>
    </row>
    <row r="3" spans="1:17" ht="23.25" x14ac:dyDescent="0.35">
      <c r="A3" s="250" t="s">
        <v>243</v>
      </c>
      <c r="B3" s="10">
        <v>82640</v>
      </c>
      <c r="C3" s="10">
        <v>47717.71</v>
      </c>
      <c r="D3" s="10">
        <v>15903</v>
      </c>
      <c r="E3" s="10">
        <v>82257.22</v>
      </c>
      <c r="F3" s="10">
        <v>118050</v>
      </c>
      <c r="G3" s="10">
        <f>F36</f>
        <v>192420.61518232158</v>
      </c>
      <c r="H3" s="10">
        <f>G36</f>
        <v>152407.40266828955</v>
      </c>
    </row>
    <row r="4" spans="1:17" ht="23.25" x14ac:dyDescent="0.35">
      <c r="A4" s="250" t="s">
        <v>211</v>
      </c>
      <c r="B4" s="10">
        <v>0</v>
      </c>
      <c r="C4" s="10">
        <v>0</v>
      </c>
      <c r="D4" s="10">
        <v>41500</v>
      </c>
      <c r="E4" s="10">
        <v>38251</v>
      </c>
      <c r="F4" s="10">
        <v>65000</v>
      </c>
      <c r="G4" s="10">
        <v>65000</v>
      </c>
      <c r="H4" s="10">
        <v>65000</v>
      </c>
    </row>
    <row r="5" spans="1:17" ht="23.25" x14ac:dyDescent="0.35">
      <c r="A5" s="251" t="s">
        <v>36</v>
      </c>
      <c r="B5" s="10">
        <v>8700</v>
      </c>
      <c r="C5" s="10">
        <v>38251</v>
      </c>
      <c r="D5" s="10">
        <v>38251</v>
      </c>
      <c r="E5" s="10">
        <v>0</v>
      </c>
      <c r="F5" s="10">
        <v>0</v>
      </c>
      <c r="G5" s="10">
        <v>0</v>
      </c>
      <c r="H5" s="10">
        <v>0</v>
      </c>
    </row>
    <row r="6" spans="1:17" ht="24" thickBot="1" x14ac:dyDescent="0.4">
      <c r="A6" s="252" t="s">
        <v>3</v>
      </c>
      <c r="B6" s="11">
        <f>SUM(B2:B5)</f>
        <v>908099</v>
      </c>
      <c r="C6" s="11">
        <f>SUM(C2:C5)</f>
        <v>912852.71</v>
      </c>
      <c r="D6" s="11">
        <f>SUM(D2:D5)</f>
        <v>921231</v>
      </c>
      <c r="E6" s="11">
        <f t="shared" ref="E6:F6" si="0">SUM(E2:E5)</f>
        <v>935300.22</v>
      </c>
      <c r="F6" s="11">
        <f t="shared" si="0"/>
        <v>1088816</v>
      </c>
      <c r="G6" s="11">
        <f t="shared" ref="G6:H6" si="1">SUM(G2:G5)</f>
        <v>1136013.6351823215</v>
      </c>
      <c r="H6" s="11">
        <f t="shared" si="1"/>
        <v>1069642.6320682894</v>
      </c>
    </row>
    <row r="7" spans="1:17" ht="24" thickBot="1" x14ac:dyDescent="0.4">
      <c r="A7" s="253" t="s">
        <v>232</v>
      </c>
      <c r="B7" s="17">
        <f>100030-32000</f>
        <v>68030</v>
      </c>
      <c r="C7" s="17">
        <v>60803</v>
      </c>
      <c r="D7" s="17">
        <v>22000</v>
      </c>
      <c r="E7" s="17">
        <f>D7*1.04</f>
        <v>22880</v>
      </c>
      <c r="F7" s="17">
        <v>17934</v>
      </c>
      <c r="G7" s="17">
        <v>50000</v>
      </c>
      <c r="H7" s="17">
        <f>G7*1.04</f>
        <v>52000</v>
      </c>
    </row>
    <row r="8" spans="1:17" ht="23.25" x14ac:dyDescent="0.35">
      <c r="A8" s="254" t="s">
        <v>29</v>
      </c>
      <c r="B8" s="16">
        <v>564062</v>
      </c>
      <c r="C8" s="16">
        <v>629324</v>
      </c>
      <c r="D8" s="16">
        <v>612389.80000000005</v>
      </c>
      <c r="E8" s="16">
        <f>D8*1.04</f>
        <v>636885.39200000011</v>
      </c>
      <c r="F8" s="16">
        <v>562033</v>
      </c>
      <c r="G8" s="16">
        <v>679699.28</v>
      </c>
      <c r="H8" s="16">
        <f>G8*1.04</f>
        <v>706887.25120000006</v>
      </c>
    </row>
    <row r="9" spans="1:17" ht="23.25" x14ac:dyDescent="0.35">
      <c r="A9" s="251" t="s">
        <v>32</v>
      </c>
      <c r="B9" s="19">
        <v>65000</v>
      </c>
      <c r="C9" s="19">
        <v>41500</v>
      </c>
      <c r="D9" s="19">
        <v>38251</v>
      </c>
      <c r="E9" s="19">
        <v>65000</v>
      </c>
      <c r="F9" s="19">
        <v>130000</v>
      </c>
      <c r="G9" s="19">
        <v>65000</v>
      </c>
      <c r="H9" s="19">
        <v>65000</v>
      </c>
    </row>
    <row r="10" spans="1:17" ht="24" thickBot="1" x14ac:dyDescent="0.4">
      <c r="A10" s="255" t="s">
        <v>8</v>
      </c>
      <c r="B10" s="12">
        <f>SUM(B7,B8,B9)</f>
        <v>697092</v>
      </c>
      <c r="C10" s="12">
        <f>SUM(C7,C8,C9)</f>
        <v>731627</v>
      </c>
      <c r="D10" s="12">
        <f>SUM(D7,D8,D9)</f>
        <v>672640.8</v>
      </c>
      <c r="E10" s="12">
        <f t="shared" ref="E10:F10" si="2">SUM(E7,E8,E9)</f>
        <v>724765.39200000011</v>
      </c>
      <c r="F10" s="12">
        <f t="shared" si="2"/>
        <v>709967</v>
      </c>
      <c r="G10" s="12">
        <f t="shared" ref="G10:H10" si="3">SUM(G7,G8,G9)</f>
        <v>794699.28</v>
      </c>
      <c r="H10" s="12">
        <f t="shared" si="3"/>
        <v>823887.25120000006</v>
      </c>
    </row>
    <row r="11" spans="1:17" s="2" customFormat="1" ht="23.25" x14ac:dyDescent="0.35">
      <c r="A11" s="256" t="s">
        <v>31</v>
      </c>
      <c r="B11" s="13">
        <v>45000</v>
      </c>
      <c r="C11" s="13">
        <v>45000</v>
      </c>
      <c r="D11" s="13">
        <v>45000</v>
      </c>
      <c r="E11" s="13">
        <v>45000</v>
      </c>
      <c r="F11" s="13">
        <v>45000</v>
      </c>
      <c r="G11" s="13">
        <v>45000</v>
      </c>
      <c r="H11" s="13">
        <v>45000</v>
      </c>
      <c r="I11"/>
      <c r="J11"/>
      <c r="K11"/>
      <c r="L11"/>
      <c r="M11"/>
      <c r="N11"/>
      <c r="O11"/>
      <c r="P11"/>
      <c r="Q11"/>
    </row>
    <row r="12" spans="1:17" s="2" customFormat="1" ht="23.25" hidden="1" x14ac:dyDescent="0.35">
      <c r="A12" s="257" t="s">
        <v>9</v>
      </c>
      <c r="B12" s="13"/>
      <c r="C12" s="13"/>
      <c r="D12" s="13"/>
      <c r="E12" s="13"/>
      <c r="F12" s="13"/>
      <c r="G12" s="13"/>
      <c r="H12" s="13"/>
      <c r="I12"/>
      <c r="J12"/>
      <c r="K12"/>
      <c r="L12"/>
      <c r="M12"/>
      <c r="N12"/>
      <c r="O12"/>
      <c r="P12"/>
      <c r="Q12"/>
    </row>
    <row r="13" spans="1:17" s="2" customFormat="1" ht="23.25" hidden="1" x14ac:dyDescent="0.35">
      <c r="A13" s="14" t="s">
        <v>10</v>
      </c>
      <c r="B13" s="13"/>
      <c r="C13" s="13"/>
      <c r="D13" s="13"/>
      <c r="E13" s="13"/>
      <c r="F13" s="13"/>
      <c r="G13" s="13"/>
      <c r="H13" s="13"/>
      <c r="I13"/>
      <c r="J13"/>
      <c r="K13"/>
      <c r="L13"/>
      <c r="M13"/>
      <c r="N13"/>
      <c r="O13"/>
      <c r="P13"/>
      <c r="Q13"/>
    </row>
    <row r="14" spans="1:17" s="2" customFormat="1" ht="23.25" hidden="1" x14ac:dyDescent="0.35">
      <c r="A14" s="14" t="s">
        <v>11</v>
      </c>
      <c r="B14" s="13"/>
      <c r="C14" s="13"/>
      <c r="D14" s="13"/>
      <c r="E14" s="13"/>
      <c r="F14" s="13"/>
      <c r="G14" s="13"/>
      <c r="H14" s="13"/>
      <c r="I14"/>
      <c r="J14"/>
      <c r="K14"/>
      <c r="L14"/>
      <c r="M14"/>
      <c r="N14"/>
      <c r="O14"/>
      <c r="P14"/>
      <c r="Q14"/>
    </row>
    <row r="15" spans="1:17" s="2" customFormat="1" ht="23.25" hidden="1" x14ac:dyDescent="0.35">
      <c r="A15" s="14" t="s">
        <v>12</v>
      </c>
      <c r="B15" s="13"/>
      <c r="C15" s="13"/>
      <c r="D15" s="13"/>
      <c r="E15" s="13"/>
      <c r="F15" s="13"/>
      <c r="G15" s="13"/>
      <c r="H15" s="13"/>
    </row>
    <row r="16" spans="1:17" s="2" customFormat="1" ht="23.25" hidden="1" x14ac:dyDescent="0.35">
      <c r="A16" s="14" t="s">
        <v>13</v>
      </c>
      <c r="B16" s="13"/>
      <c r="C16" s="13"/>
      <c r="D16" s="13"/>
      <c r="E16" s="13"/>
      <c r="F16" s="13"/>
      <c r="G16" s="13"/>
      <c r="H16" s="13"/>
    </row>
    <row r="17" spans="1:8" s="2" customFormat="1" ht="23.25" hidden="1" x14ac:dyDescent="0.35">
      <c r="A17" s="14" t="s">
        <v>14</v>
      </c>
      <c r="B17" s="13"/>
      <c r="C17" s="13"/>
      <c r="D17" s="13"/>
      <c r="E17" s="13"/>
      <c r="F17" s="13"/>
      <c r="G17" s="13"/>
      <c r="H17" s="13"/>
    </row>
    <row r="18" spans="1:8" s="2" customFormat="1" ht="23.25" hidden="1" x14ac:dyDescent="0.35">
      <c r="A18" s="14" t="s">
        <v>15</v>
      </c>
      <c r="B18" s="13"/>
      <c r="C18" s="13"/>
      <c r="D18" s="13"/>
      <c r="E18" s="13"/>
      <c r="F18" s="13"/>
      <c r="G18" s="13"/>
      <c r="H18" s="13"/>
    </row>
    <row r="19" spans="1:8" s="2" customFormat="1" ht="23.25" hidden="1" x14ac:dyDescent="0.35">
      <c r="A19" s="14" t="s">
        <v>16</v>
      </c>
      <c r="B19" s="13"/>
      <c r="C19" s="13"/>
      <c r="D19" s="13"/>
      <c r="E19" s="13"/>
      <c r="F19" s="13"/>
      <c r="G19" s="13"/>
      <c r="H19" s="13"/>
    </row>
    <row r="20" spans="1:8" s="2" customFormat="1" ht="23.25" hidden="1" x14ac:dyDescent="0.35">
      <c r="A20" s="14" t="s">
        <v>17</v>
      </c>
      <c r="B20" s="13"/>
      <c r="C20" s="13"/>
      <c r="D20" s="13"/>
      <c r="E20" s="13"/>
      <c r="F20" s="13"/>
      <c r="G20" s="13"/>
      <c r="H20" s="13"/>
    </row>
    <row r="21" spans="1:8" s="2" customFormat="1" ht="23.25" hidden="1" x14ac:dyDescent="0.35">
      <c r="A21" s="14" t="s">
        <v>18</v>
      </c>
      <c r="B21" s="13"/>
      <c r="C21" s="13"/>
      <c r="D21" s="13"/>
      <c r="E21" s="13"/>
      <c r="F21" s="13"/>
      <c r="G21" s="13"/>
      <c r="H21" s="13"/>
    </row>
    <row r="22" spans="1:8" s="2" customFormat="1" ht="23.25" hidden="1" x14ac:dyDescent="0.35">
      <c r="A22" s="14" t="s">
        <v>19</v>
      </c>
      <c r="B22" s="13"/>
      <c r="C22" s="13"/>
      <c r="D22" s="13"/>
      <c r="E22" s="13"/>
      <c r="F22" s="13"/>
      <c r="G22" s="13"/>
      <c r="H22" s="13"/>
    </row>
    <row r="23" spans="1:8" s="2" customFormat="1" ht="23.25" hidden="1" x14ac:dyDescent="0.35">
      <c r="A23" s="14" t="s">
        <v>20</v>
      </c>
      <c r="B23" s="13"/>
      <c r="C23" s="13"/>
      <c r="D23" s="13"/>
      <c r="E23" s="13"/>
      <c r="F23" s="13"/>
      <c r="G23" s="13"/>
      <c r="H23" s="13"/>
    </row>
    <row r="24" spans="1:8" s="2" customFormat="1" ht="23.25" hidden="1" x14ac:dyDescent="0.35">
      <c r="A24" s="14" t="s">
        <v>21</v>
      </c>
      <c r="B24" s="13"/>
      <c r="C24" s="13"/>
      <c r="D24" s="13"/>
      <c r="E24" s="13"/>
      <c r="F24" s="13"/>
      <c r="G24" s="13"/>
      <c r="H24" s="13"/>
    </row>
    <row r="25" spans="1:8" s="2" customFormat="1" ht="23.25" hidden="1" x14ac:dyDescent="0.35">
      <c r="A25" s="14" t="s">
        <v>22</v>
      </c>
      <c r="B25" s="13"/>
      <c r="C25" s="13"/>
      <c r="D25" s="13"/>
      <c r="E25" s="13"/>
      <c r="F25" s="13"/>
      <c r="G25" s="13"/>
      <c r="H25" s="13"/>
    </row>
    <row r="26" spans="1:8" s="2" customFormat="1" ht="23.25" hidden="1" x14ac:dyDescent="0.35">
      <c r="A26" s="14" t="s">
        <v>23</v>
      </c>
      <c r="B26" s="13"/>
      <c r="C26" s="13"/>
      <c r="D26" s="13"/>
      <c r="E26" s="13"/>
      <c r="F26" s="13"/>
      <c r="G26" s="13"/>
      <c r="H26" s="13"/>
    </row>
    <row r="27" spans="1:8" s="2" customFormat="1" ht="23.25" hidden="1" x14ac:dyDescent="0.35">
      <c r="A27" s="256" t="s">
        <v>24</v>
      </c>
      <c r="B27" s="13"/>
      <c r="C27" s="13"/>
      <c r="D27" s="13"/>
      <c r="E27" s="13"/>
      <c r="F27" s="13"/>
      <c r="G27" s="13"/>
      <c r="H27" s="13"/>
    </row>
    <row r="28" spans="1:8" s="2" customFormat="1" ht="23.25" x14ac:dyDescent="0.35">
      <c r="A28" s="258" t="s">
        <v>9</v>
      </c>
      <c r="B28" s="13">
        <f>82883.49+22379-7500+10000</f>
        <v>107762.49</v>
      </c>
      <c r="C28" s="13">
        <f>B28*1.02</f>
        <v>109917.73980000001</v>
      </c>
      <c r="D28" s="13">
        <f>C28*1.02+7000</f>
        <v>119116.09459600001</v>
      </c>
      <c r="E28" s="13">
        <f>D28*1.02</f>
        <v>121498.41648792001</v>
      </c>
      <c r="F28" s="13">
        <f>E28*1.02</f>
        <v>123928.38481767841</v>
      </c>
      <c r="G28" s="13">
        <f>F28*1.02</f>
        <v>126406.95251403197</v>
      </c>
      <c r="H28" s="13">
        <f>G28*1.02</f>
        <v>128935.09156431262</v>
      </c>
    </row>
    <row r="29" spans="1:8" s="2" customFormat="1" ht="23.25" hidden="1" x14ac:dyDescent="0.35">
      <c r="A29" s="257" t="s">
        <v>30</v>
      </c>
      <c r="B29" s="13"/>
      <c r="C29" s="13"/>
      <c r="D29" s="13"/>
      <c r="E29" s="13"/>
      <c r="F29" s="13"/>
      <c r="G29" s="13"/>
      <c r="H29" s="13"/>
    </row>
    <row r="30" spans="1:8" s="2" customFormat="1" ht="23.25" hidden="1" x14ac:dyDescent="0.35">
      <c r="A30" s="14" t="s">
        <v>35</v>
      </c>
      <c r="B30" s="18"/>
      <c r="C30" s="13"/>
      <c r="D30" s="18"/>
      <c r="E30" s="18"/>
      <c r="F30" s="18"/>
      <c r="G30" s="18"/>
      <c r="H30" s="18"/>
    </row>
    <row r="31" spans="1:8" s="2" customFormat="1" ht="23.25" hidden="1" x14ac:dyDescent="0.35">
      <c r="A31" s="14" t="s">
        <v>34</v>
      </c>
      <c r="B31" s="13"/>
      <c r="C31" s="13"/>
      <c r="D31" s="13"/>
      <c r="E31" s="13"/>
      <c r="F31" s="13"/>
      <c r="G31" s="13"/>
      <c r="H31" s="13"/>
    </row>
    <row r="32" spans="1:8" s="2" customFormat="1" ht="23.25" hidden="1" x14ac:dyDescent="0.35">
      <c r="A32" s="14" t="s">
        <v>26</v>
      </c>
      <c r="B32" s="13"/>
      <c r="C32" s="13"/>
      <c r="D32" s="13"/>
      <c r="E32" s="13"/>
      <c r="F32" s="13"/>
      <c r="G32" s="13"/>
      <c r="H32" s="13"/>
    </row>
    <row r="33" spans="1:8" s="2" customFormat="1" ht="23.25" x14ac:dyDescent="0.35">
      <c r="A33" s="256" t="s">
        <v>30</v>
      </c>
      <c r="B33" s="13">
        <v>17500</v>
      </c>
      <c r="C33" s="13">
        <v>17500</v>
      </c>
      <c r="D33" s="13">
        <v>17500</v>
      </c>
      <c r="E33" s="13">
        <v>17500</v>
      </c>
      <c r="F33" s="13">
        <v>17500</v>
      </c>
      <c r="G33" s="13">
        <v>17500</v>
      </c>
      <c r="H33" s="13">
        <v>17500</v>
      </c>
    </row>
    <row r="34" spans="1:8" s="2" customFormat="1" ht="23.25" x14ac:dyDescent="0.35">
      <c r="A34" s="261" t="s">
        <v>27</v>
      </c>
      <c r="B34" s="262">
        <f>SUM(B11:B33)</f>
        <v>170262.49</v>
      </c>
      <c r="C34" s="262">
        <f>SUM(C11:C33)</f>
        <v>172417.73980000001</v>
      </c>
      <c r="D34" s="262">
        <f>SUM(D11:D33)</f>
        <v>181616.09459600001</v>
      </c>
      <c r="E34" s="262">
        <f t="shared" ref="E34:F34" si="4">SUM(E11:E33)</f>
        <v>183998.41648792001</v>
      </c>
      <c r="F34" s="262">
        <f t="shared" si="4"/>
        <v>186428.38481767842</v>
      </c>
      <c r="G34" s="262">
        <f t="shared" ref="G34:H34" si="5">SUM(G11:G33)</f>
        <v>188906.95251403196</v>
      </c>
      <c r="H34" s="262">
        <f t="shared" si="5"/>
        <v>191435.09156431264</v>
      </c>
    </row>
    <row r="35" spans="1:8" ht="23.25" x14ac:dyDescent="0.35">
      <c r="A35" s="14"/>
      <c r="B35" s="10"/>
      <c r="D35" s="10"/>
      <c r="E35" s="10"/>
      <c r="F35" s="10"/>
      <c r="G35" s="10"/>
      <c r="H35" s="10"/>
    </row>
    <row r="36" spans="1:8" s="6" customFormat="1" ht="24" thickBot="1" x14ac:dyDescent="0.4">
      <c r="A36" s="259" t="s">
        <v>28</v>
      </c>
      <c r="B36" s="15">
        <f>B6-B10-B34</f>
        <v>40744.510000000009</v>
      </c>
      <c r="C36" s="15">
        <f>C6-C10-C34-C35</f>
        <v>8807.9701999999525</v>
      </c>
      <c r="D36" s="15">
        <f t="shared" ref="D36:F36" si="6">D6-D10-D34-D35</f>
        <v>66974.105403999944</v>
      </c>
      <c r="E36" s="15">
        <f t="shared" si="6"/>
        <v>26536.411512079852</v>
      </c>
      <c r="F36" s="15">
        <f t="shared" si="6"/>
        <v>192420.61518232158</v>
      </c>
      <c r="G36" s="15">
        <f t="shared" ref="G36:H36" si="7">G6-G10-G34-G35</f>
        <v>152407.40266828955</v>
      </c>
      <c r="H36" s="15">
        <f t="shared" si="7"/>
        <v>54320.289303976751</v>
      </c>
    </row>
    <row r="37" spans="1:8" s="4" customFormat="1" ht="15.75" thickTop="1" x14ac:dyDescent="0.25">
      <c r="A37" s="3"/>
      <c r="B37" s="3"/>
      <c r="C37" s="3"/>
      <c r="D37" s="3"/>
      <c r="E37" s="3"/>
    </row>
    <row r="38" spans="1:8" s="4" customFormat="1" x14ac:dyDescent="0.25">
      <c r="B38" s="5"/>
      <c r="C38" s="5"/>
      <c r="D38" s="5"/>
      <c r="E38" s="5"/>
    </row>
    <row r="39" spans="1:8" s="4" customFormat="1" x14ac:dyDescent="0.25">
      <c r="B39" s="5"/>
      <c r="C39" s="5"/>
      <c r="D39" s="5"/>
      <c r="E39" s="5"/>
    </row>
    <row r="40" spans="1:8" s="4" customFormat="1" x14ac:dyDescent="0.25"/>
    <row r="41" spans="1:8" s="4" customFormat="1" x14ac:dyDescent="0.25"/>
    <row r="42" spans="1:8" s="4" customFormat="1" x14ac:dyDescent="0.25"/>
    <row r="43" spans="1:8" s="4" customFormat="1" x14ac:dyDescent="0.25"/>
    <row r="44" spans="1:8" s="4" customFormat="1" x14ac:dyDescent="0.25"/>
    <row r="45" spans="1:8" s="4" customFormat="1" x14ac:dyDescent="0.25"/>
    <row r="46" spans="1:8" s="4" customFormat="1" x14ac:dyDescent="0.25"/>
    <row r="47" spans="1:8" s="4" customFormat="1" x14ac:dyDescent="0.25"/>
    <row r="48" spans="1: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</sheetData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5" sqref="H5"/>
    </sheetView>
  </sheetViews>
  <sheetFormatPr defaultRowHeight="15" x14ac:dyDescent="0.25"/>
  <cols>
    <col min="1" max="1" width="16.140625" customWidth="1"/>
    <col min="2" max="2" width="38.28515625" style="260" hidden="1" customWidth="1"/>
    <col min="3" max="3" width="30.28515625" style="260" hidden="1" customWidth="1"/>
    <col min="4" max="5" width="22.42578125" style="260" customWidth="1"/>
    <col min="6" max="6" width="20.85546875" style="260" customWidth="1"/>
    <col min="7" max="7" width="22.7109375" customWidth="1"/>
  </cols>
  <sheetData>
    <row r="1" spans="1:7" x14ac:dyDescent="0.25">
      <c r="A1" t="s">
        <v>202</v>
      </c>
      <c r="B1" s="260" t="s">
        <v>200</v>
      </c>
      <c r="C1" s="260" t="s">
        <v>201</v>
      </c>
      <c r="D1" s="260" t="s">
        <v>230</v>
      </c>
      <c r="E1" s="260" t="s">
        <v>234</v>
      </c>
      <c r="F1" s="260" t="s">
        <v>248</v>
      </c>
      <c r="G1" s="260" t="s">
        <v>254</v>
      </c>
    </row>
    <row r="2" spans="1:7" ht="30" x14ac:dyDescent="0.25">
      <c r="A2" s="279" t="s">
        <v>228</v>
      </c>
      <c r="B2" s="274" t="s">
        <v>238</v>
      </c>
      <c r="C2" s="274" t="s">
        <v>238</v>
      </c>
      <c r="D2" s="274" t="s">
        <v>240</v>
      </c>
      <c r="E2" s="275" t="s">
        <v>240</v>
      </c>
      <c r="F2" s="277" t="s">
        <v>249</v>
      </c>
      <c r="G2" s="277" t="s">
        <v>257</v>
      </c>
    </row>
    <row r="3" spans="1:7" x14ac:dyDescent="0.25">
      <c r="A3" s="280" t="s">
        <v>36</v>
      </c>
      <c r="B3" s="276" t="s">
        <v>235</v>
      </c>
      <c r="C3" s="276" t="s">
        <v>235</v>
      </c>
      <c r="D3" s="276" t="s">
        <v>208</v>
      </c>
      <c r="E3" s="277" t="s">
        <v>208</v>
      </c>
      <c r="F3" s="277" t="s">
        <v>208</v>
      </c>
      <c r="G3" s="277" t="s">
        <v>208</v>
      </c>
    </row>
    <row r="4" spans="1:7" ht="45" x14ac:dyDescent="0.25">
      <c r="A4" s="280" t="s">
        <v>203</v>
      </c>
      <c r="B4" s="276" t="s">
        <v>236</v>
      </c>
      <c r="C4" s="276" t="s">
        <v>241</v>
      </c>
      <c r="D4" s="276" t="s">
        <v>209</v>
      </c>
      <c r="E4" s="277" t="s">
        <v>246</v>
      </c>
      <c r="F4" s="277" t="s">
        <v>250</v>
      </c>
      <c r="G4" s="276" t="s">
        <v>209</v>
      </c>
    </row>
    <row r="5" spans="1:7" ht="60" x14ac:dyDescent="0.25">
      <c r="A5" s="280" t="s">
        <v>204</v>
      </c>
      <c r="B5" s="276" t="s">
        <v>209</v>
      </c>
      <c r="C5" s="276" t="s">
        <v>242</v>
      </c>
      <c r="D5" s="276" t="s">
        <v>209</v>
      </c>
      <c r="E5" s="277" t="s">
        <v>247</v>
      </c>
      <c r="F5" s="277" t="s">
        <v>256</v>
      </c>
      <c r="G5" s="276" t="s">
        <v>209</v>
      </c>
    </row>
    <row r="6" spans="1:7" x14ac:dyDescent="0.25">
      <c r="A6" s="280" t="s">
        <v>187</v>
      </c>
      <c r="B6" s="276" t="s">
        <v>231</v>
      </c>
      <c r="C6" s="276" t="s">
        <v>239</v>
      </c>
      <c r="D6" s="276" t="s">
        <v>251</v>
      </c>
      <c r="E6" s="277" t="s">
        <v>252</v>
      </c>
      <c r="F6" s="277" t="s">
        <v>253</v>
      </c>
      <c r="G6" s="277" t="s">
        <v>255</v>
      </c>
    </row>
    <row r="7" spans="1:7" ht="60" x14ac:dyDescent="0.25">
      <c r="A7" s="280" t="s">
        <v>205</v>
      </c>
      <c r="B7" s="276" t="s">
        <v>206</v>
      </c>
      <c r="C7" s="278" t="s">
        <v>237</v>
      </c>
      <c r="D7" s="276" t="s">
        <v>210</v>
      </c>
      <c r="E7" s="277" t="s">
        <v>210</v>
      </c>
      <c r="F7" s="277" t="s">
        <v>210</v>
      </c>
      <c r="G7" s="277" t="s">
        <v>210</v>
      </c>
    </row>
    <row r="8" spans="1:7" ht="30" x14ac:dyDescent="0.25">
      <c r="A8" s="280" t="s">
        <v>207</v>
      </c>
      <c r="B8" s="276" t="s">
        <v>210</v>
      </c>
      <c r="C8" s="276" t="s">
        <v>210</v>
      </c>
      <c r="D8" s="276" t="s">
        <v>210</v>
      </c>
      <c r="E8" s="277" t="s">
        <v>210</v>
      </c>
      <c r="F8" s="277" t="s">
        <v>210</v>
      </c>
      <c r="G8" s="277" t="s">
        <v>210</v>
      </c>
    </row>
  </sheetData>
  <phoneticPr fontId="37" type="noConversion"/>
  <pageMargins left="0.2" right="0.2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9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E47" sqref="E47"/>
    </sheetView>
  </sheetViews>
  <sheetFormatPr defaultRowHeight="15" x14ac:dyDescent="0.25"/>
  <cols>
    <col min="1" max="1" width="43.85546875" bestFit="1" customWidth="1"/>
    <col min="2" max="2" width="13" hidden="1" customWidth="1"/>
    <col min="3" max="3" width="12.85546875" hidden="1" customWidth="1"/>
    <col min="4" max="4" width="13" hidden="1" customWidth="1"/>
    <col min="5" max="5" width="13.85546875" bestFit="1" customWidth="1"/>
    <col min="6" max="6" width="8" bestFit="1" customWidth="1"/>
    <col min="7" max="7" width="9.85546875" hidden="1" customWidth="1"/>
    <col min="8" max="8" width="7" hidden="1" customWidth="1"/>
    <col min="9" max="10" width="9.42578125" hidden="1" customWidth="1"/>
    <col min="11" max="11" width="7.140625" hidden="1" customWidth="1"/>
    <col min="12" max="12" width="10.140625" hidden="1" customWidth="1"/>
    <col min="13" max="13" width="7.42578125" hidden="1" customWidth="1"/>
    <col min="14" max="14" width="11.42578125" hidden="1" customWidth="1"/>
    <col min="15" max="16" width="12" hidden="1" customWidth="1"/>
    <col min="17" max="22" width="10.42578125" hidden="1" customWidth="1"/>
    <col min="23" max="23" width="9.7109375" style="64" hidden="1" customWidth="1"/>
  </cols>
  <sheetData>
    <row r="1" spans="1:23" ht="26.25" x14ac:dyDescent="0.25">
      <c r="A1" s="20" t="s">
        <v>40</v>
      </c>
      <c r="B1" s="21"/>
      <c r="C1" s="22">
        <v>1231</v>
      </c>
      <c r="D1" s="23" t="s">
        <v>41</v>
      </c>
      <c r="E1" s="22">
        <v>1234</v>
      </c>
      <c r="F1" s="22">
        <v>1234</v>
      </c>
      <c r="G1" s="22">
        <v>4584</v>
      </c>
      <c r="H1" s="22" t="s">
        <v>42</v>
      </c>
      <c r="I1" s="22" t="s">
        <v>43</v>
      </c>
      <c r="J1" s="22">
        <v>8315</v>
      </c>
      <c r="K1" s="22">
        <v>3740</v>
      </c>
      <c r="L1" s="22">
        <v>9675</v>
      </c>
      <c r="M1" s="22">
        <v>4524</v>
      </c>
      <c r="N1" s="22"/>
      <c r="O1" s="24" t="s">
        <v>44</v>
      </c>
      <c r="P1" s="24" t="s">
        <v>45</v>
      </c>
      <c r="Q1" s="20">
        <v>8950</v>
      </c>
      <c r="R1" s="24">
        <v>4872</v>
      </c>
      <c r="S1" s="20">
        <v>4872</v>
      </c>
      <c r="T1" s="20">
        <v>4872</v>
      </c>
      <c r="U1" s="20">
        <v>4872</v>
      </c>
      <c r="V1" s="25">
        <v>4872</v>
      </c>
      <c r="W1" s="26"/>
    </row>
    <row r="2" spans="1:23" ht="39.75" thickBot="1" x14ac:dyDescent="0.3">
      <c r="A2" s="27" t="s">
        <v>0</v>
      </c>
      <c r="B2" s="28" t="s">
        <v>46</v>
      </c>
      <c r="C2" s="29" t="s">
        <v>47</v>
      </c>
      <c r="D2" s="30" t="s">
        <v>48</v>
      </c>
      <c r="E2" s="29" t="s">
        <v>1</v>
      </c>
      <c r="F2" s="29" t="s">
        <v>49</v>
      </c>
      <c r="G2" s="31" t="s">
        <v>50</v>
      </c>
      <c r="H2" s="29" t="s">
        <v>51</v>
      </c>
      <c r="I2" s="29" t="s">
        <v>52</v>
      </c>
      <c r="J2" s="29" t="s">
        <v>53</v>
      </c>
      <c r="K2" s="29" t="s">
        <v>54</v>
      </c>
      <c r="L2" s="29" t="s">
        <v>55</v>
      </c>
      <c r="M2" s="29" t="s">
        <v>56</v>
      </c>
      <c r="N2" s="32" t="s">
        <v>57</v>
      </c>
      <c r="O2" s="28" t="s">
        <v>58</v>
      </c>
      <c r="P2" s="28" t="s">
        <v>59</v>
      </c>
      <c r="Q2" s="28" t="s">
        <v>60</v>
      </c>
      <c r="R2" s="28" t="s">
        <v>61</v>
      </c>
      <c r="S2" s="28" t="s">
        <v>62</v>
      </c>
      <c r="T2" s="28" t="s">
        <v>63</v>
      </c>
      <c r="U2" s="28" t="s">
        <v>64</v>
      </c>
      <c r="V2" s="33" t="s">
        <v>65</v>
      </c>
      <c r="W2" s="34" t="s">
        <v>66</v>
      </c>
    </row>
    <row r="3" spans="1:23" x14ac:dyDescent="0.25">
      <c r="A3" s="35" t="s">
        <v>67</v>
      </c>
      <c r="B3" s="36">
        <f>SUM(C3:V3)</f>
        <v>3598686.25</v>
      </c>
      <c r="C3" s="37">
        <f>1130956-794.96</f>
        <v>1130161.04</v>
      </c>
      <c r="D3" s="38">
        <f>386730-735.76</f>
        <v>385994.23999999999</v>
      </c>
      <c r="E3" s="39">
        <f>817098-339</f>
        <v>816759</v>
      </c>
      <c r="F3" s="39">
        <f>276549-115</f>
        <v>276434</v>
      </c>
      <c r="G3" s="39"/>
      <c r="H3" s="39"/>
      <c r="I3" s="39">
        <v>0</v>
      </c>
      <c r="J3" s="39">
        <v>133800</v>
      </c>
      <c r="K3" s="39">
        <v>9500</v>
      </c>
      <c r="L3" s="39">
        <v>799047.97</v>
      </c>
      <c r="M3" s="40"/>
      <c r="N3" s="40">
        <v>46990</v>
      </c>
      <c r="O3" s="40"/>
      <c r="P3" s="40"/>
      <c r="Q3" s="40"/>
      <c r="R3" s="40"/>
      <c r="S3" s="41"/>
      <c r="U3" s="40"/>
      <c r="V3" s="40"/>
      <c r="W3" s="42"/>
    </row>
    <row r="4" spans="1:23" x14ac:dyDescent="0.25">
      <c r="A4" s="43" t="s">
        <v>68</v>
      </c>
      <c r="B4" s="36">
        <f>SUM(C4:V4)</f>
        <v>1073558.96</v>
      </c>
      <c r="C4" s="44">
        <v>86044.26</v>
      </c>
      <c r="D4" s="44">
        <v>16157.87</v>
      </c>
      <c r="E4" s="44">
        <v>82676.679999999993</v>
      </c>
      <c r="F4" s="44"/>
      <c r="G4" s="39">
        <v>36000</v>
      </c>
      <c r="H4" s="39"/>
      <c r="I4" s="39"/>
      <c r="J4" s="39">
        <v>2.92</v>
      </c>
      <c r="K4" s="39">
        <v>1001.65</v>
      </c>
      <c r="L4" s="39"/>
      <c r="M4" s="44">
        <v>0</v>
      </c>
      <c r="N4" s="44"/>
      <c r="O4" s="44">
        <v>12141</v>
      </c>
      <c r="P4" s="44"/>
      <c r="Q4" s="44">
        <v>303389.90999999997</v>
      </c>
      <c r="R4" s="44"/>
      <c r="S4" s="44">
        <v>147902.44</v>
      </c>
      <c r="T4" s="44">
        <v>108558</v>
      </c>
      <c r="U4" s="45">
        <v>213528.23</v>
      </c>
      <c r="V4" s="45">
        <v>66156</v>
      </c>
      <c r="W4" s="46"/>
    </row>
    <row r="5" spans="1:23" x14ac:dyDescent="0.25">
      <c r="A5" s="43" t="s">
        <v>69</v>
      </c>
      <c r="B5" s="36">
        <f t="shared" ref="B5:B9" si="0">SUM(C5:V5)</f>
        <v>1489861.94</v>
      </c>
      <c r="C5" s="44">
        <v>25000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>
        <v>224674</v>
      </c>
      <c r="P5" s="44">
        <v>350000</v>
      </c>
      <c r="Q5" s="44"/>
      <c r="R5" s="44">
        <f>217163.58+221580</f>
        <v>438743.57999999996</v>
      </c>
      <c r="S5" s="44"/>
      <c r="T5" s="40">
        <f>317263.21+134181.15</f>
        <v>451444.36</v>
      </c>
      <c r="U5" s="44"/>
      <c r="V5" s="44"/>
      <c r="W5" s="46"/>
    </row>
    <row r="6" spans="1:23" x14ac:dyDescent="0.25">
      <c r="A6" s="43" t="s">
        <v>212</v>
      </c>
      <c r="B6" s="36">
        <f t="shared" si="0"/>
        <v>56665</v>
      </c>
      <c r="C6" s="44"/>
      <c r="D6" s="48">
        <v>56665</v>
      </c>
      <c r="E6" s="44"/>
      <c r="F6" s="44"/>
      <c r="G6" s="44"/>
      <c r="H6" s="44"/>
      <c r="I6" s="44"/>
      <c r="J6" s="44"/>
      <c r="K6" s="44"/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</row>
    <row r="7" spans="1:23" x14ac:dyDescent="0.25">
      <c r="A7" s="47" t="s">
        <v>70</v>
      </c>
      <c r="B7" s="36">
        <f t="shared" si="0"/>
        <v>139428</v>
      </c>
      <c r="C7" s="44">
        <v>69714</v>
      </c>
      <c r="D7" s="48">
        <v>34857</v>
      </c>
      <c r="E7" s="44">
        <v>34857</v>
      </c>
      <c r="F7" s="44"/>
      <c r="G7" s="44"/>
      <c r="H7" s="44"/>
      <c r="I7" s="44"/>
      <c r="J7" s="44"/>
      <c r="K7" s="44" t="s">
        <v>39</v>
      </c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</row>
    <row r="8" spans="1:23" x14ac:dyDescent="0.25">
      <c r="A8" s="43" t="s">
        <v>71</v>
      </c>
      <c r="B8" s="36">
        <f t="shared" si="0"/>
        <v>45000</v>
      </c>
      <c r="C8" s="44"/>
      <c r="D8" s="44"/>
      <c r="E8" s="44"/>
      <c r="F8" s="44"/>
      <c r="G8" s="44"/>
      <c r="H8" s="44">
        <v>45000</v>
      </c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5"/>
      <c r="V8" s="45"/>
      <c r="W8" s="46"/>
    </row>
    <row r="9" spans="1:23" x14ac:dyDescent="0.25">
      <c r="A9" s="43" t="s">
        <v>72</v>
      </c>
      <c r="B9" s="36">
        <f t="shared" si="0"/>
        <v>8000</v>
      </c>
      <c r="C9" s="44">
        <v>8000</v>
      </c>
      <c r="D9" s="44"/>
      <c r="E9" s="44"/>
      <c r="F9" s="44"/>
      <c r="G9" s="44"/>
      <c r="H9" s="44"/>
      <c r="I9" s="44"/>
      <c r="J9" s="44"/>
      <c r="K9" s="44"/>
      <c r="L9" s="45"/>
      <c r="M9" s="44"/>
      <c r="N9" s="44"/>
      <c r="O9" s="44"/>
      <c r="P9" s="44"/>
      <c r="Q9" s="44"/>
      <c r="R9" s="44"/>
      <c r="S9" s="44"/>
      <c r="T9" s="44"/>
      <c r="U9" s="45"/>
      <c r="V9" s="45"/>
      <c r="W9" s="46"/>
    </row>
    <row r="10" spans="1:23" x14ac:dyDescent="0.25">
      <c r="A10" s="49" t="s">
        <v>73</v>
      </c>
      <c r="B10" s="50">
        <f t="shared" ref="B10:F10" si="1">SUM(B3:B9)</f>
        <v>6411200.1500000004</v>
      </c>
      <c r="C10" s="50">
        <f t="shared" si="1"/>
        <v>1318919.3</v>
      </c>
      <c r="D10" s="50">
        <f t="shared" si="1"/>
        <v>493674.11</v>
      </c>
      <c r="E10" s="50">
        <f t="shared" si="1"/>
        <v>934292.67999999993</v>
      </c>
      <c r="F10" s="50">
        <f t="shared" si="1"/>
        <v>276434</v>
      </c>
      <c r="G10" s="50">
        <f t="shared" ref="G10:J10" si="2">SUM(G3:G9)</f>
        <v>36000</v>
      </c>
      <c r="H10" s="50">
        <f t="shared" si="2"/>
        <v>45000</v>
      </c>
      <c r="I10" s="50">
        <f t="shared" si="2"/>
        <v>0</v>
      </c>
      <c r="J10" s="50">
        <f t="shared" si="2"/>
        <v>133802.92000000001</v>
      </c>
      <c r="K10" s="50">
        <f t="shared" ref="K10:V10" si="3">SUM(K3:K9)</f>
        <v>10501.65</v>
      </c>
      <c r="L10" s="50">
        <f t="shared" si="3"/>
        <v>799047.97</v>
      </c>
      <c r="M10" s="50">
        <f t="shared" si="3"/>
        <v>0</v>
      </c>
      <c r="N10" s="50">
        <f t="shared" si="3"/>
        <v>46990</v>
      </c>
      <c r="O10" s="50">
        <f t="shared" si="3"/>
        <v>236815</v>
      </c>
      <c r="P10" s="50">
        <f t="shared" si="3"/>
        <v>350000</v>
      </c>
      <c r="Q10" s="50">
        <f t="shared" si="3"/>
        <v>303389.90999999997</v>
      </c>
      <c r="R10" s="50">
        <f t="shared" si="3"/>
        <v>438743.57999999996</v>
      </c>
      <c r="S10" s="50">
        <f t="shared" si="3"/>
        <v>147902.44</v>
      </c>
      <c r="T10" s="50">
        <f>SUM(T4:T9)</f>
        <v>560002.36</v>
      </c>
      <c r="U10" s="50">
        <f t="shared" si="3"/>
        <v>213528.23</v>
      </c>
      <c r="V10" s="50">
        <f t="shared" si="3"/>
        <v>66156</v>
      </c>
      <c r="W10" s="46">
        <f>SUM(C10:V10)</f>
        <v>6411200.1500000013</v>
      </c>
    </row>
    <row r="11" spans="1:23" x14ac:dyDescent="0.25">
      <c r="A11" s="51" t="s">
        <v>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46"/>
    </row>
    <row r="12" spans="1:23" x14ac:dyDescent="0.25">
      <c r="A12" s="53" t="s">
        <v>74</v>
      </c>
      <c r="B12" s="36">
        <f>SUM(C12:V12)</f>
        <v>154200</v>
      </c>
      <c r="C12" s="44">
        <v>24400</v>
      </c>
      <c r="D12" s="44">
        <f>51400-1800</f>
        <v>49600</v>
      </c>
      <c r="E12" s="44">
        <v>78400</v>
      </c>
      <c r="F12" s="44"/>
      <c r="G12" s="44">
        <v>1800</v>
      </c>
      <c r="H12" s="44"/>
      <c r="I12" s="44"/>
      <c r="J12" s="44"/>
      <c r="K12" s="44"/>
      <c r="L12" s="44"/>
      <c r="M12" s="45"/>
      <c r="N12" s="45"/>
      <c r="O12" s="45"/>
      <c r="P12" s="45"/>
      <c r="Q12" s="45"/>
      <c r="R12" s="45"/>
      <c r="S12" s="45"/>
      <c r="T12" s="45"/>
      <c r="U12" s="45"/>
      <c r="V12" s="44"/>
      <c r="W12" s="46"/>
    </row>
    <row r="13" spans="1:23" x14ac:dyDescent="0.25">
      <c r="A13" s="53" t="s">
        <v>75</v>
      </c>
      <c r="B13" s="36">
        <f t="shared" ref="B13:B14" si="4">SUM(C13:V13)</f>
        <v>72468</v>
      </c>
      <c r="C13" s="44">
        <v>0</v>
      </c>
      <c r="D13" s="44">
        <v>24156</v>
      </c>
      <c r="E13" s="44">
        <f>24156+24156</f>
        <v>48312</v>
      </c>
      <c r="F13" s="44"/>
      <c r="G13" s="44"/>
      <c r="H13" s="44"/>
      <c r="I13" s="44"/>
      <c r="J13" s="44"/>
      <c r="K13" s="44"/>
      <c r="L13" s="44"/>
      <c r="M13" s="45"/>
      <c r="N13" s="45"/>
      <c r="O13" s="45"/>
      <c r="P13" s="45"/>
      <c r="Q13" s="45"/>
      <c r="R13" s="45"/>
      <c r="S13" s="45"/>
      <c r="T13" s="45"/>
      <c r="U13" s="45"/>
      <c r="V13" s="44"/>
      <c r="W13" s="46"/>
    </row>
    <row r="14" spans="1:23" x14ac:dyDescent="0.25">
      <c r="A14" s="54" t="s">
        <v>5</v>
      </c>
      <c r="B14" s="55">
        <f t="shared" si="4"/>
        <v>226668</v>
      </c>
      <c r="C14" s="55">
        <f t="shared" ref="C14:F14" si="5">SUM(C12:C13)</f>
        <v>24400</v>
      </c>
      <c r="D14" s="55">
        <f t="shared" si="5"/>
        <v>73756</v>
      </c>
      <c r="E14" s="55">
        <f t="shared" si="5"/>
        <v>126712</v>
      </c>
      <c r="F14" s="55">
        <f t="shared" si="5"/>
        <v>0</v>
      </c>
      <c r="G14" s="55">
        <f t="shared" ref="G14:V14" si="6">SUM(G12:G13)</f>
        <v>1800</v>
      </c>
      <c r="H14" s="55">
        <f t="shared" si="6"/>
        <v>0</v>
      </c>
      <c r="I14" s="55">
        <f t="shared" si="6"/>
        <v>0</v>
      </c>
      <c r="J14" s="55">
        <f t="shared" si="6"/>
        <v>0</v>
      </c>
      <c r="K14" s="55">
        <f t="shared" si="6"/>
        <v>0</v>
      </c>
      <c r="L14" s="55">
        <f t="shared" si="6"/>
        <v>0</v>
      </c>
      <c r="M14" s="55">
        <f t="shared" si="6"/>
        <v>0</v>
      </c>
      <c r="N14" s="55">
        <f t="shared" si="6"/>
        <v>0</v>
      </c>
      <c r="O14" s="55">
        <f t="shared" si="6"/>
        <v>0</v>
      </c>
      <c r="P14" s="55">
        <f t="shared" si="6"/>
        <v>0</v>
      </c>
      <c r="Q14" s="55">
        <f t="shared" si="6"/>
        <v>0</v>
      </c>
      <c r="R14" s="55">
        <f t="shared" si="6"/>
        <v>0</v>
      </c>
      <c r="S14" s="55">
        <f t="shared" si="6"/>
        <v>0</v>
      </c>
      <c r="T14" s="55">
        <f t="shared" si="6"/>
        <v>0</v>
      </c>
      <c r="U14" s="55">
        <f t="shared" si="6"/>
        <v>0</v>
      </c>
      <c r="V14" s="55">
        <f t="shared" si="6"/>
        <v>0</v>
      </c>
      <c r="W14" s="46">
        <f>SUM(C14:V14)</f>
        <v>226668</v>
      </c>
    </row>
    <row r="15" spans="1:23" x14ac:dyDescent="0.25">
      <c r="A15" s="53" t="s">
        <v>76</v>
      </c>
      <c r="B15" s="36">
        <f>SUM(C15:V15)</f>
        <v>169734.22</v>
      </c>
      <c r="C15" s="44">
        <v>78734.22</v>
      </c>
      <c r="D15" s="48"/>
      <c r="E15" s="44"/>
      <c r="F15" s="44"/>
      <c r="G15" s="44"/>
      <c r="H15" s="44"/>
      <c r="I15" s="44"/>
      <c r="J15" s="44"/>
      <c r="K15" s="44"/>
      <c r="L15" s="44"/>
      <c r="M15" s="45"/>
      <c r="N15" s="45"/>
      <c r="O15" s="45"/>
      <c r="P15" s="45"/>
      <c r="Q15" s="45">
        <v>28000</v>
      </c>
      <c r="R15" s="45">
        <v>15000</v>
      </c>
      <c r="S15" s="45"/>
      <c r="T15" s="45">
        <v>25000</v>
      </c>
      <c r="U15" s="45">
        <v>23000</v>
      </c>
      <c r="V15" s="44"/>
      <c r="W15" s="46"/>
    </row>
    <row r="16" spans="1:23" x14ac:dyDescent="0.25">
      <c r="A16" s="53" t="s">
        <v>77</v>
      </c>
      <c r="B16" s="36">
        <f t="shared" ref="B16:B27" si="7">SUM(C16:V16)</f>
        <v>156230.09</v>
      </c>
      <c r="C16" s="44">
        <v>156230.09</v>
      </c>
      <c r="D16" s="48"/>
      <c r="E16" s="44"/>
      <c r="F16" s="44"/>
      <c r="G16" s="44"/>
      <c r="H16" s="44"/>
      <c r="I16" s="44"/>
      <c r="J16" s="44"/>
      <c r="K16" s="44"/>
      <c r="L16" s="44"/>
      <c r="M16" s="45"/>
      <c r="N16" s="45"/>
      <c r="O16" s="45"/>
      <c r="P16" s="45"/>
      <c r="Q16" s="45"/>
      <c r="R16" s="45"/>
      <c r="S16" s="45"/>
      <c r="T16" s="45"/>
      <c r="U16" s="45"/>
      <c r="V16" s="44"/>
      <c r="W16" s="46"/>
    </row>
    <row r="17" spans="1:23" x14ac:dyDescent="0.25">
      <c r="A17" s="56" t="s">
        <v>78</v>
      </c>
      <c r="B17" s="36">
        <f t="shared" si="7"/>
        <v>155095.29999999999</v>
      </c>
      <c r="C17" s="44">
        <v>155095.29999999999</v>
      </c>
      <c r="D17" s="48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5"/>
      <c r="P17" s="45"/>
      <c r="Q17" s="45"/>
      <c r="R17" s="45"/>
      <c r="S17" s="45"/>
      <c r="T17" s="45"/>
      <c r="U17" s="45"/>
      <c r="V17" s="44"/>
      <c r="W17" s="46"/>
    </row>
    <row r="18" spans="1:23" x14ac:dyDescent="0.25">
      <c r="A18" s="56" t="s">
        <v>79</v>
      </c>
      <c r="B18" s="36">
        <f t="shared" si="7"/>
        <v>50831.239094999997</v>
      </c>
      <c r="C18" s="44">
        <f>'[1]1. Program Staff'!R14/2</f>
        <v>50831.239094999997</v>
      </c>
      <c r="D18" s="48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5"/>
      <c r="Q18" s="45"/>
      <c r="R18" s="45"/>
      <c r="S18" s="45"/>
      <c r="T18" s="45"/>
      <c r="U18" s="45"/>
      <c r="V18" s="44"/>
      <c r="W18" s="46"/>
    </row>
    <row r="19" spans="1:23" x14ac:dyDescent="0.25">
      <c r="A19" s="53" t="s">
        <v>80</v>
      </c>
      <c r="B19" s="36">
        <f t="shared" si="7"/>
        <v>3274.55</v>
      </c>
      <c r="C19" s="44"/>
      <c r="D19" s="48">
        <v>3274.55</v>
      </c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5"/>
      <c r="Q19" s="45"/>
      <c r="R19" s="45"/>
      <c r="S19" s="45"/>
      <c r="T19" s="45"/>
      <c r="U19" s="45"/>
      <c r="V19" s="44">
        <v>0</v>
      </c>
      <c r="W19" s="46"/>
    </row>
    <row r="20" spans="1:23" x14ac:dyDescent="0.25">
      <c r="A20" s="53" t="s">
        <v>81</v>
      </c>
      <c r="B20" s="36">
        <f t="shared" si="7"/>
        <v>73861.38</v>
      </c>
      <c r="C20" s="44">
        <v>28861.38</v>
      </c>
      <c r="D20" s="48"/>
      <c r="E20" s="44"/>
      <c r="F20" s="44"/>
      <c r="G20" s="44"/>
      <c r="H20" s="44"/>
      <c r="I20" s="44"/>
      <c r="J20" s="44"/>
      <c r="K20" s="44"/>
      <c r="L20" s="44"/>
      <c r="M20" s="45"/>
      <c r="N20" s="45"/>
      <c r="O20" s="45"/>
      <c r="P20" s="45">
        <v>35000</v>
      </c>
      <c r="Q20" s="45"/>
      <c r="R20" s="45"/>
      <c r="S20" s="45"/>
      <c r="T20" s="45">
        <v>10000</v>
      </c>
      <c r="U20" s="45"/>
      <c r="V20" s="44"/>
      <c r="W20" s="46"/>
    </row>
    <row r="21" spans="1:23" x14ac:dyDescent="0.25">
      <c r="A21" s="53" t="s">
        <v>82</v>
      </c>
      <c r="B21" s="36">
        <f t="shared" si="7"/>
        <v>118123.51999999999</v>
      </c>
      <c r="C21" s="44">
        <v>65423.519999999997</v>
      </c>
      <c r="D21" s="48"/>
      <c r="E21" s="44">
        <v>2700</v>
      </c>
      <c r="F21" s="44"/>
      <c r="G21" s="44"/>
      <c r="H21" s="44"/>
      <c r="I21" s="44"/>
      <c r="J21" s="44"/>
      <c r="K21" s="44"/>
      <c r="L21" s="44"/>
      <c r="M21" s="45"/>
      <c r="N21" s="45"/>
      <c r="O21" s="45"/>
      <c r="P21" s="45"/>
      <c r="Q21" s="45"/>
      <c r="R21" s="45">
        <v>30000</v>
      </c>
      <c r="S21" s="45"/>
      <c r="T21" s="45"/>
      <c r="U21" s="45">
        <v>20000</v>
      </c>
      <c r="V21" s="44"/>
      <c r="W21" s="46"/>
    </row>
    <row r="22" spans="1:23" x14ac:dyDescent="0.25">
      <c r="A22" s="53" t="s">
        <v>83</v>
      </c>
      <c r="B22" s="36">
        <f t="shared" si="7"/>
        <v>21231.65</v>
      </c>
      <c r="C22" s="44">
        <v>1386</v>
      </c>
      <c r="D22" s="48">
        <v>19845.650000000001</v>
      </c>
      <c r="E22" s="44"/>
      <c r="F22" s="44"/>
      <c r="G22" s="44"/>
      <c r="H22" s="44"/>
      <c r="I22" s="44"/>
      <c r="J22" s="44"/>
      <c r="K22" s="44"/>
      <c r="L22" s="44"/>
      <c r="M22" s="45"/>
      <c r="N22" s="45"/>
      <c r="O22" s="45"/>
      <c r="P22" s="45"/>
      <c r="Q22" s="45"/>
      <c r="R22" s="45"/>
      <c r="S22" s="45"/>
      <c r="T22" s="45"/>
      <c r="U22" s="45"/>
      <c r="V22" s="44"/>
      <c r="W22" s="46"/>
    </row>
    <row r="23" spans="1:23" x14ac:dyDescent="0.25">
      <c r="A23" s="56" t="s">
        <v>84</v>
      </c>
      <c r="B23" s="36">
        <f t="shared" si="7"/>
        <v>73409.960000000006</v>
      </c>
      <c r="C23" s="44"/>
      <c r="D23" s="48"/>
      <c r="E23" s="44"/>
      <c r="F23" s="44"/>
      <c r="G23" s="44"/>
      <c r="H23" s="44"/>
      <c r="I23" s="44"/>
      <c r="J23" s="44"/>
      <c r="K23" s="44"/>
      <c r="L23" s="44"/>
      <c r="M23" s="45"/>
      <c r="N23" s="45"/>
      <c r="O23" s="45"/>
      <c r="P23" s="45"/>
      <c r="Q23" s="45"/>
      <c r="R23" s="45"/>
      <c r="S23" s="45">
        <v>73409.960000000006</v>
      </c>
      <c r="T23" s="45"/>
      <c r="U23" s="45"/>
      <c r="V23" s="44"/>
      <c r="W23" s="46"/>
    </row>
    <row r="24" spans="1:23" x14ac:dyDescent="0.25">
      <c r="A24" s="56" t="s">
        <v>85</v>
      </c>
      <c r="B24" s="36">
        <f t="shared" si="7"/>
        <v>64278</v>
      </c>
      <c r="C24" s="44"/>
      <c r="D24" s="48"/>
      <c r="E24" s="44"/>
      <c r="F24" s="44"/>
      <c r="G24" s="44"/>
      <c r="H24" s="44"/>
      <c r="I24" s="44"/>
      <c r="J24" s="44"/>
      <c r="K24" s="44"/>
      <c r="L24" s="44"/>
      <c r="M24" s="45"/>
      <c r="N24" s="45"/>
      <c r="O24" s="45"/>
      <c r="P24" s="45"/>
      <c r="Q24" s="45"/>
      <c r="R24" s="45"/>
      <c r="S24" s="45">
        <v>64278</v>
      </c>
      <c r="T24" s="45"/>
      <c r="U24" s="45"/>
      <c r="V24" s="44"/>
      <c r="W24" s="46"/>
    </row>
    <row r="25" spans="1:23" x14ac:dyDescent="0.25">
      <c r="A25" s="56" t="s">
        <v>213</v>
      </c>
      <c r="B25" s="36">
        <f t="shared" si="7"/>
        <v>5600</v>
      </c>
      <c r="C25" s="44">
        <v>5600</v>
      </c>
      <c r="D25" s="48"/>
      <c r="E25" s="44"/>
      <c r="F25" s="44"/>
      <c r="G25" s="44"/>
      <c r="H25" s="44"/>
      <c r="I25" s="44"/>
      <c r="J25" s="44"/>
      <c r="K25" s="44"/>
      <c r="L25" s="44"/>
      <c r="M25" s="45"/>
      <c r="N25" s="45"/>
      <c r="O25" s="45"/>
      <c r="P25" s="45"/>
      <c r="Q25" s="45"/>
      <c r="R25" s="45"/>
      <c r="S25" s="45"/>
      <c r="T25" s="45"/>
      <c r="U25" s="45"/>
      <c r="V25" s="44"/>
      <c r="W25" s="46"/>
    </row>
    <row r="26" spans="1:23" x14ac:dyDescent="0.25">
      <c r="A26" s="56" t="s">
        <v>214</v>
      </c>
      <c r="B26" s="36">
        <f t="shared" si="7"/>
        <v>326687.96000000002</v>
      </c>
      <c r="C26" s="44">
        <v>3000</v>
      </c>
      <c r="D26" s="48"/>
      <c r="E26" s="44"/>
      <c r="F26" s="44"/>
      <c r="G26" s="58">
        <f t="shared" ref="G26:V26" si="8">SUM(G15:G25)</f>
        <v>0</v>
      </c>
      <c r="H26" s="58">
        <f t="shared" si="8"/>
        <v>0</v>
      </c>
      <c r="I26" s="58">
        <f t="shared" si="8"/>
        <v>0</v>
      </c>
      <c r="J26" s="58">
        <f t="shared" si="8"/>
        <v>0</v>
      </c>
      <c r="K26" s="58">
        <f t="shared" si="8"/>
        <v>0</v>
      </c>
      <c r="L26" s="58">
        <f t="shared" si="8"/>
        <v>0</v>
      </c>
      <c r="M26" s="58">
        <f t="shared" si="8"/>
        <v>0</v>
      </c>
      <c r="N26" s="58">
        <f t="shared" si="8"/>
        <v>0</v>
      </c>
      <c r="O26" s="58">
        <f t="shared" si="8"/>
        <v>0</v>
      </c>
      <c r="P26" s="58">
        <f t="shared" si="8"/>
        <v>35000</v>
      </c>
      <c r="Q26" s="58">
        <f t="shared" si="8"/>
        <v>28000</v>
      </c>
      <c r="R26" s="58">
        <f t="shared" si="8"/>
        <v>45000</v>
      </c>
      <c r="S26" s="58">
        <f t="shared" si="8"/>
        <v>137687.96000000002</v>
      </c>
      <c r="T26" s="58">
        <f t="shared" si="8"/>
        <v>35000</v>
      </c>
      <c r="U26" s="58">
        <f t="shared" si="8"/>
        <v>43000</v>
      </c>
      <c r="V26" s="58">
        <f t="shared" si="8"/>
        <v>0</v>
      </c>
      <c r="W26" s="46">
        <f>SUM(C26:V26)</f>
        <v>326687.96000000002</v>
      </c>
    </row>
    <row r="27" spans="1:23" x14ac:dyDescent="0.25">
      <c r="A27" s="56" t="s">
        <v>86</v>
      </c>
      <c r="B27" s="36">
        <f t="shared" si="7"/>
        <v>0</v>
      </c>
      <c r="C27" s="44"/>
      <c r="D27" s="48"/>
      <c r="E27" s="44"/>
      <c r="F27" s="44"/>
      <c r="G27" s="44"/>
      <c r="H27" s="44"/>
      <c r="I27" s="44"/>
      <c r="J27" s="44"/>
      <c r="K27" s="44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1:23" x14ac:dyDescent="0.25">
      <c r="A28" s="57" t="s">
        <v>87</v>
      </c>
      <c r="B28" s="58">
        <f t="shared" ref="B28:F28" si="9">SUM(B15:B27)</f>
        <v>1218357.869095</v>
      </c>
      <c r="C28" s="58">
        <f t="shared" si="9"/>
        <v>545161.74909499998</v>
      </c>
      <c r="D28" s="58">
        <f t="shared" si="9"/>
        <v>23120.2</v>
      </c>
      <c r="E28" s="58">
        <f t="shared" si="9"/>
        <v>2700</v>
      </c>
      <c r="F28" s="58">
        <f t="shared" si="9"/>
        <v>0</v>
      </c>
      <c r="G28" s="44"/>
      <c r="H28" s="44"/>
      <c r="I28" s="44"/>
      <c r="J28" s="44"/>
      <c r="K28" s="44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4"/>
      <c r="W28" s="46"/>
    </row>
    <row r="29" spans="1:23" x14ac:dyDescent="0.25">
      <c r="A29" s="53" t="s">
        <v>88</v>
      </c>
      <c r="B29" s="36">
        <f>SUM(C29:V29)</f>
        <v>126919.84</v>
      </c>
      <c r="C29" s="44"/>
      <c r="D29" s="45">
        <v>108914</v>
      </c>
      <c r="E29" s="44"/>
      <c r="F29" s="44"/>
      <c r="G29" s="44"/>
      <c r="H29" s="44">
        <v>18005.84</v>
      </c>
      <c r="I29" s="44"/>
      <c r="J29" s="44"/>
      <c r="K29" s="44"/>
      <c r="L29" s="4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</row>
    <row r="30" spans="1:23" x14ac:dyDescent="0.25">
      <c r="A30" s="56" t="s">
        <v>89</v>
      </c>
      <c r="B30" s="36">
        <f t="shared" ref="B30:B34" si="10">SUM(C30:V30)</f>
        <v>0</v>
      </c>
      <c r="C30" s="44"/>
      <c r="D30" s="45">
        <v>0</v>
      </c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</row>
    <row r="31" spans="1:23" x14ac:dyDescent="0.25">
      <c r="A31" s="59" t="s">
        <v>90</v>
      </c>
      <c r="B31" s="36">
        <f t="shared" si="10"/>
        <v>27000</v>
      </c>
      <c r="C31" s="44"/>
      <c r="D31" s="48">
        <v>0</v>
      </c>
      <c r="E31" s="44"/>
      <c r="F31" s="44"/>
      <c r="G31" s="44">
        <v>27000</v>
      </c>
      <c r="H31" s="44"/>
      <c r="I31" s="44"/>
      <c r="J31" s="44"/>
      <c r="K31" s="44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4"/>
      <c r="W31" s="46"/>
    </row>
    <row r="32" spans="1:23" x14ac:dyDescent="0.25">
      <c r="A32" s="53" t="s">
        <v>91</v>
      </c>
      <c r="B32" s="36">
        <f t="shared" si="10"/>
        <v>81690</v>
      </c>
      <c r="C32" s="44"/>
      <c r="D32" s="48">
        <v>81690</v>
      </c>
      <c r="E32" s="44"/>
      <c r="F32" s="44"/>
      <c r="G32" s="44">
        <v>0</v>
      </c>
      <c r="H32" s="44"/>
      <c r="I32" s="44"/>
      <c r="J32" s="44"/>
      <c r="K32" s="44"/>
      <c r="L32" s="44"/>
      <c r="M32" s="45"/>
      <c r="N32" s="45"/>
      <c r="O32" s="45"/>
      <c r="P32" s="45"/>
      <c r="Q32" s="45"/>
      <c r="R32" s="45"/>
      <c r="S32" s="45"/>
      <c r="T32" s="45"/>
      <c r="U32" s="45"/>
      <c r="V32" s="44"/>
      <c r="W32" s="46"/>
    </row>
    <row r="33" spans="1:23" x14ac:dyDescent="0.25">
      <c r="A33" s="53" t="s">
        <v>92</v>
      </c>
      <c r="B33" s="36">
        <f t="shared" si="10"/>
        <v>92946.84</v>
      </c>
      <c r="C33" s="44"/>
      <c r="D33" s="48">
        <v>47941</v>
      </c>
      <c r="E33" s="44"/>
      <c r="F33" s="44"/>
      <c r="G33" s="61">
        <f t="shared" ref="G33:U33" si="11">SUM(G27:G32)</f>
        <v>27000</v>
      </c>
      <c r="H33" s="61">
        <f t="shared" si="11"/>
        <v>18005.84</v>
      </c>
      <c r="I33" s="61">
        <f t="shared" si="11"/>
        <v>0</v>
      </c>
      <c r="J33" s="61">
        <f t="shared" si="11"/>
        <v>0</v>
      </c>
      <c r="K33" s="61">
        <f t="shared" si="11"/>
        <v>0</v>
      </c>
      <c r="L33" s="61">
        <f t="shared" si="11"/>
        <v>0</v>
      </c>
      <c r="M33" s="61">
        <f t="shared" si="11"/>
        <v>0</v>
      </c>
      <c r="N33" s="61">
        <f t="shared" si="11"/>
        <v>0</v>
      </c>
      <c r="O33" s="61">
        <f t="shared" si="11"/>
        <v>0</v>
      </c>
      <c r="P33" s="61">
        <f t="shared" si="11"/>
        <v>0</v>
      </c>
      <c r="Q33" s="61">
        <f t="shared" si="11"/>
        <v>0</v>
      </c>
      <c r="R33" s="61">
        <f t="shared" si="11"/>
        <v>0</v>
      </c>
      <c r="S33" s="61">
        <f t="shared" si="11"/>
        <v>0</v>
      </c>
      <c r="T33" s="61">
        <f t="shared" si="11"/>
        <v>0</v>
      </c>
      <c r="U33" s="61">
        <f t="shared" si="11"/>
        <v>0</v>
      </c>
      <c r="V33" s="61">
        <v>0</v>
      </c>
      <c r="W33" s="46">
        <f>SUM(C33:V33)</f>
        <v>92946.84</v>
      </c>
    </row>
    <row r="34" spans="1:23" x14ac:dyDescent="0.25">
      <c r="A34" s="56" t="s">
        <v>93</v>
      </c>
      <c r="B34" s="36">
        <f t="shared" si="10"/>
        <v>7889.52</v>
      </c>
      <c r="C34" s="44">
        <v>3000</v>
      </c>
      <c r="D34" s="48">
        <v>4889.5200000000004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6"/>
    </row>
    <row r="35" spans="1:23" x14ac:dyDescent="0.25">
      <c r="A35" s="60" t="s">
        <v>94</v>
      </c>
      <c r="B35" s="61">
        <f t="shared" ref="B35:F35" si="12">SUM(B29:B34)</f>
        <v>336446.2</v>
      </c>
      <c r="C35" s="61">
        <f t="shared" si="12"/>
        <v>3000</v>
      </c>
      <c r="D35" s="61">
        <f t="shared" si="12"/>
        <v>243434.52</v>
      </c>
      <c r="E35" s="61">
        <f t="shared" si="12"/>
        <v>0</v>
      </c>
      <c r="F35" s="61">
        <f t="shared" si="12"/>
        <v>0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6"/>
    </row>
    <row r="36" spans="1:23" x14ac:dyDescent="0.25">
      <c r="A36" s="56" t="s">
        <v>95</v>
      </c>
      <c r="B36" s="36">
        <f>SUM(C36:V36)</f>
        <v>84915.39</v>
      </c>
      <c r="C36" s="44"/>
      <c r="D36" s="48"/>
      <c r="E36" s="44">
        <v>76645.39</v>
      </c>
      <c r="F36" s="44">
        <v>8270</v>
      </c>
      <c r="G36" s="44"/>
      <c r="H36" s="44"/>
      <c r="I36" s="44"/>
      <c r="J36" s="44"/>
      <c r="K36" s="44"/>
      <c r="L36" s="44"/>
      <c r="M36" s="45"/>
      <c r="N36" s="45"/>
      <c r="O36" s="45"/>
      <c r="P36" s="45"/>
      <c r="Q36" s="45"/>
      <c r="R36" s="45"/>
      <c r="S36" s="45"/>
      <c r="T36" s="45"/>
      <c r="U36" s="45"/>
      <c r="V36" s="44"/>
      <c r="W36" s="46"/>
    </row>
    <row r="37" spans="1:23" x14ac:dyDescent="0.25">
      <c r="A37" s="53" t="s">
        <v>6</v>
      </c>
      <c r="B37" s="36">
        <f t="shared" ref="B37:B40" si="13">SUM(C37:V37)</f>
        <v>154808.69</v>
      </c>
      <c r="C37" s="44"/>
      <c r="D37" s="48"/>
      <c r="E37" s="44">
        <v>144029.95000000001</v>
      </c>
      <c r="F37" s="44"/>
      <c r="G37" s="44"/>
      <c r="H37" s="44"/>
      <c r="I37" s="44"/>
      <c r="J37" s="44"/>
      <c r="K37" s="44"/>
      <c r="L37" s="44"/>
      <c r="M37" s="44"/>
      <c r="N37" s="44">
        <f>8835+1943.74</f>
        <v>10778.74</v>
      </c>
      <c r="O37" s="44"/>
      <c r="P37" s="44"/>
      <c r="Q37" s="44"/>
      <c r="R37" s="44"/>
      <c r="S37" s="44"/>
      <c r="T37" s="44"/>
      <c r="U37" s="44"/>
      <c r="V37" s="44"/>
      <c r="W37" s="46"/>
    </row>
    <row r="38" spans="1:23" x14ac:dyDescent="0.25">
      <c r="A38" s="53" t="s">
        <v>96</v>
      </c>
      <c r="B38" s="36">
        <f t="shared" si="13"/>
        <v>50831.239094999997</v>
      </c>
      <c r="C38" s="44"/>
      <c r="D38" s="48"/>
      <c r="E38" s="44">
        <f>'[1]1. Program Staff'!R14/2</f>
        <v>50831.239094999997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6"/>
    </row>
    <row r="39" spans="1:23" x14ac:dyDescent="0.25">
      <c r="A39" s="53" t="s">
        <v>97</v>
      </c>
      <c r="B39" s="36">
        <f t="shared" si="13"/>
        <v>137120.53</v>
      </c>
      <c r="C39" s="44"/>
      <c r="D39" s="48"/>
      <c r="E39" s="44">
        <f>129262.79-2921</f>
        <v>126341.79</v>
      </c>
      <c r="F39" s="44"/>
      <c r="G39" s="63">
        <f t="shared" ref="G39:V39" si="14">SUM(G34:G38)</f>
        <v>0</v>
      </c>
      <c r="H39" s="63">
        <f t="shared" si="14"/>
        <v>0</v>
      </c>
      <c r="I39" s="63">
        <f t="shared" si="14"/>
        <v>0</v>
      </c>
      <c r="J39" s="63">
        <f t="shared" si="14"/>
        <v>0</v>
      </c>
      <c r="K39" s="63">
        <f t="shared" si="14"/>
        <v>0</v>
      </c>
      <c r="L39" s="63">
        <f t="shared" si="14"/>
        <v>0</v>
      </c>
      <c r="M39" s="63">
        <f t="shared" si="14"/>
        <v>0</v>
      </c>
      <c r="N39" s="63">
        <f t="shared" si="14"/>
        <v>10778.74</v>
      </c>
      <c r="O39" s="63">
        <f t="shared" si="14"/>
        <v>0</v>
      </c>
      <c r="P39" s="63">
        <f t="shared" si="14"/>
        <v>0</v>
      </c>
      <c r="Q39" s="63">
        <f t="shared" si="14"/>
        <v>0</v>
      </c>
      <c r="R39" s="63">
        <f t="shared" si="14"/>
        <v>0</v>
      </c>
      <c r="S39" s="63">
        <f t="shared" si="14"/>
        <v>0</v>
      </c>
      <c r="T39" s="63">
        <f t="shared" si="14"/>
        <v>0</v>
      </c>
      <c r="U39" s="63">
        <f t="shared" si="14"/>
        <v>0</v>
      </c>
      <c r="V39" s="63">
        <f t="shared" si="14"/>
        <v>0</v>
      </c>
      <c r="W39" s="46">
        <f>SUM(C39:V39)</f>
        <v>137120.53</v>
      </c>
    </row>
    <row r="40" spans="1:23" s="64" customFormat="1" x14ac:dyDescent="0.25">
      <c r="A40" s="53" t="s">
        <v>98</v>
      </c>
      <c r="B40" s="36">
        <f t="shared" si="13"/>
        <v>164355.87</v>
      </c>
      <c r="C40" s="44"/>
      <c r="D40" s="48"/>
      <c r="E40" s="44">
        <f>167942.87-3587</f>
        <v>164355.87</v>
      </c>
      <c r="F40" s="44"/>
      <c r="G40" s="44">
        <v>0</v>
      </c>
      <c r="H40" s="44"/>
      <c r="I40" s="44">
        <v>0</v>
      </c>
      <c r="J40" s="44"/>
      <c r="K40" s="44"/>
      <c r="L40" s="44">
        <v>0</v>
      </c>
      <c r="M40" s="44"/>
      <c r="N40" s="44"/>
      <c r="O40" s="44"/>
      <c r="P40" s="44"/>
      <c r="Q40" s="44"/>
      <c r="R40" s="44"/>
      <c r="S40" s="44"/>
      <c r="T40" s="44"/>
      <c r="U40" s="44">
        <v>0</v>
      </c>
      <c r="V40" s="44">
        <v>0</v>
      </c>
      <c r="W40" s="46">
        <f>SUM(C40:V40)</f>
        <v>164355.87</v>
      </c>
    </row>
    <row r="41" spans="1:23" x14ac:dyDescent="0.25">
      <c r="A41" s="62" t="s">
        <v>7</v>
      </c>
      <c r="B41" s="63">
        <f>SUM(B36:B40)</f>
        <v>592031.71909500007</v>
      </c>
      <c r="C41" s="63">
        <f t="shared" ref="C41:F41" si="15">SUM(C36:C40)</f>
        <v>0</v>
      </c>
      <c r="D41" s="63">
        <f t="shared" si="15"/>
        <v>0</v>
      </c>
      <c r="E41" s="63">
        <f t="shared" si="15"/>
        <v>562204.23909500008</v>
      </c>
      <c r="F41" s="63">
        <f t="shared" si="15"/>
        <v>8270</v>
      </c>
      <c r="G41" s="66">
        <f t="shared" ref="G41:I41" si="16">+G40+G39+G33+G26+G14</f>
        <v>28800</v>
      </c>
      <c r="H41" s="66">
        <f t="shared" si="16"/>
        <v>18005.84</v>
      </c>
      <c r="I41" s="66">
        <f t="shared" si="16"/>
        <v>0</v>
      </c>
      <c r="J41" s="66"/>
      <c r="K41" s="66">
        <f t="shared" ref="K41:U41" si="17">+K40+K39+K33+K26+K14</f>
        <v>0</v>
      </c>
      <c r="L41" s="66">
        <f t="shared" si="17"/>
        <v>0</v>
      </c>
      <c r="M41" s="66">
        <f t="shared" si="17"/>
        <v>0</v>
      </c>
      <c r="N41" s="66">
        <f t="shared" si="17"/>
        <v>10778.74</v>
      </c>
      <c r="O41" s="66">
        <f t="shared" si="17"/>
        <v>0</v>
      </c>
      <c r="P41" s="66">
        <f t="shared" si="17"/>
        <v>35000</v>
      </c>
      <c r="Q41" s="66">
        <f t="shared" si="17"/>
        <v>28000</v>
      </c>
      <c r="R41" s="66">
        <f t="shared" si="17"/>
        <v>45000</v>
      </c>
      <c r="S41" s="66">
        <f t="shared" si="17"/>
        <v>137687.96000000002</v>
      </c>
      <c r="T41" s="66">
        <f t="shared" si="17"/>
        <v>35000</v>
      </c>
      <c r="U41" s="66">
        <f t="shared" si="17"/>
        <v>43000</v>
      </c>
      <c r="V41" s="66"/>
      <c r="W41" s="46">
        <f>SUM(C41:V41)</f>
        <v>951746.77909500012</v>
      </c>
    </row>
    <row r="42" spans="1:23" x14ac:dyDescent="0.25">
      <c r="A42" s="43" t="s">
        <v>99</v>
      </c>
      <c r="B42" s="36" t="e">
        <f>SUM(C42:V42)</f>
        <v>#DIV/0!</v>
      </c>
      <c r="C42" s="44">
        <v>0</v>
      </c>
      <c r="D42" s="44">
        <v>1712</v>
      </c>
      <c r="E42" s="44">
        <v>6508</v>
      </c>
      <c r="F42" s="44">
        <v>0</v>
      </c>
      <c r="G42" s="67">
        <f>+G41/G10</f>
        <v>0.8</v>
      </c>
      <c r="H42" s="67"/>
      <c r="I42" s="67" t="e">
        <f>+I41/I10</f>
        <v>#DIV/0!</v>
      </c>
      <c r="J42" s="67"/>
      <c r="K42" s="67">
        <f t="shared" ref="K42:U42" si="18">+K41/K10</f>
        <v>0</v>
      </c>
      <c r="L42" s="67">
        <f t="shared" si="18"/>
        <v>0</v>
      </c>
      <c r="M42" s="67" t="e">
        <f t="shared" si="18"/>
        <v>#DIV/0!</v>
      </c>
      <c r="N42" s="67">
        <f t="shared" si="18"/>
        <v>0.2293836986592892</v>
      </c>
      <c r="O42" s="67">
        <f t="shared" si="18"/>
        <v>0</v>
      </c>
      <c r="P42" s="67">
        <f t="shared" si="18"/>
        <v>0.1</v>
      </c>
      <c r="Q42" s="67">
        <f t="shared" si="18"/>
        <v>9.2290478612159527E-2</v>
      </c>
      <c r="R42" s="67">
        <f t="shared" si="18"/>
        <v>0.10256560335310207</v>
      </c>
      <c r="S42" s="67">
        <f t="shared" si="18"/>
        <v>0.93093771813365633</v>
      </c>
      <c r="T42" s="67">
        <f t="shared" si="18"/>
        <v>6.2499736608252865E-2</v>
      </c>
      <c r="U42" s="67">
        <f t="shared" si="18"/>
        <v>0.20137852498472916</v>
      </c>
      <c r="V42" s="67"/>
      <c r="W42" s="46"/>
    </row>
    <row r="43" spans="1:23" x14ac:dyDescent="0.25">
      <c r="A43" s="65" t="s">
        <v>100</v>
      </c>
      <c r="B43" s="66" t="e">
        <f t="shared" ref="B43:F43" si="19">+B42+B41+B35+B28+B14</f>
        <v>#DIV/0!</v>
      </c>
      <c r="C43" s="66">
        <f t="shared" si="19"/>
        <v>572561.74909499998</v>
      </c>
      <c r="D43" s="66">
        <f t="shared" si="19"/>
        <v>342022.72</v>
      </c>
      <c r="E43" s="66">
        <f t="shared" si="19"/>
        <v>698124.23909500008</v>
      </c>
      <c r="F43" s="66">
        <f t="shared" si="19"/>
        <v>8270</v>
      </c>
      <c r="G43" s="69">
        <f t="shared" ref="G43:V43" si="20">+G10-G41</f>
        <v>7200</v>
      </c>
      <c r="H43" s="69">
        <f t="shared" si="20"/>
        <v>26994.16</v>
      </c>
      <c r="I43" s="69">
        <f t="shared" si="20"/>
        <v>0</v>
      </c>
      <c r="J43" s="69">
        <f t="shared" si="20"/>
        <v>133802.92000000001</v>
      </c>
      <c r="K43" s="69">
        <f t="shared" si="20"/>
        <v>10501.65</v>
      </c>
      <c r="L43" s="69">
        <f t="shared" si="20"/>
        <v>799047.97</v>
      </c>
      <c r="M43" s="69">
        <f t="shared" si="20"/>
        <v>0</v>
      </c>
      <c r="N43" s="69">
        <f t="shared" si="20"/>
        <v>36211.26</v>
      </c>
      <c r="O43" s="69">
        <f t="shared" si="20"/>
        <v>236815</v>
      </c>
      <c r="P43" s="69">
        <f t="shared" si="20"/>
        <v>315000</v>
      </c>
      <c r="Q43" s="69">
        <f t="shared" si="20"/>
        <v>275389.90999999997</v>
      </c>
      <c r="R43" s="69">
        <f t="shared" si="20"/>
        <v>393743.57999999996</v>
      </c>
      <c r="S43" s="69">
        <f t="shared" si="20"/>
        <v>10214.479999999981</v>
      </c>
      <c r="T43" s="69">
        <f t="shared" si="20"/>
        <v>525002.36</v>
      </c>
      <c r="U43" s="69">
        <f t="shared" si="20"/>
        <v>170528.23</v>
      </c>
      <c r="V43" s="69">
        <f t="shared" si="20"/>
        <v>66156</v>
      </c>
      <c r="W43" s="46">
        <f>SUM(C43:V43)</f>
        <v>4627586.2281900002</v>
      </c>
    </row>
    <row r="44" spans="1:23" x14ac:dyDescent="0.25">
      <c r="A44" s="43" t="s">
        <v>101</v>
      </c>
      <c r="B44" s="67" t="e">
        <f>+B43/(SUM(C3:F3))</f>
        <v>#DIV/0!</v>
      </c>
      <c r="C44" s="67">
        <f>+C43/C3</f>
        <v>0.50661961333846717</v>
      </c>
      <c r="D44" s="67">
        <f>+D43/(D3+D6)</f>
        <v>0.77265464965782704</v>
      </c>
      <c r="E44" s="67">
        <f>+E43/E3</f>
        <v>0.85474936804491908</v>
      </c>
      <c r="F44" s="67">
        <f>+F43/F3</f>
        <v>2.9916725149583625E-2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46"/>
    </row>
    <row r="45" spans="1:23" x14ac:dyDescent="0.25">
      <c r="A45" s="68" t="s">
        <v>102</v>
      </c>
      <c r="B45" s="69" t="e">
        <f t="shared" ref="B45:F45" si="21">+B10-B43</f>
        <v>#DIV/0!</v>
      </c>
      <c r="C45" s="69">
        <f t="shared" si="21"/>
        <v>746357.55090500007</v>
      </c>
      <c r="D45" s="69">
        <f t="shared" si="21"/>
        <v>151651.39000000001</v>
      </c>
      <c r="E45" s="69">
        <f t="shared" si="21"/>
        <v>236168.44090499985</v>
      </c>
      <c r="F45" s="69">
        <f t="shared" si="21"/>
        <v>268164</v>
      </c>
      <c r="G45" s="44"/>
      <c r="H45" s="44"/>
      <c r="I45" s="44"/>
      <c r="J45" s="44"/>
      <c r="K45" s="44"/>
      <c r="L45" s="4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</row>
    <row r="46" spans="1:23" x14ac:dyDescent="0.25">
      <c r="A46" s="70" t="s">
        <v>25</v>
      </c>
      <c r="B46" s="71"/>
      <c r="C46" s="71"/>
      <c r="D46" s="71"/>
      <c r="E46" s="71"/>
      <c r="F46" s="71"/>
      <c r="G46" s="44"/>
      <c r="H46" s="44"/>
      <c r="I46" s="44"/>
      <c r="J46" s="44"/>
      <c r="K46" s="44"/>
      <c r="L46" s="44"/>
      <c r="M46" s="45"/>
      <c r="N46" s="45"/>
      <c r="O46" s="45"/>
      <c r="P46" s="45"/>
      <c r="Q46" s="45"/>
      <c r="R46" s="45"/>
      <c r="S46" s="45"/>
      <c r="T46" s="45"/>
      <c r="U46" s="45"/>
      <c r="V46" s="45">
        <v>0</v>
      </c>
      <c r="W46" s="46"/>
    </row>
    <row r="47" spans="1:23" x14ac:dyDescent="0.25">
      <c r="A47" s="43" t="s">
        <v>103</v>
      </c>
      <c r="B47" s="36">
        <f>SUM(C47:V47)</f>
        <v>0</v>
      </c>
      <c r="C47" s="44"/>
      <c r="D47" s="48"/>
      <c r="E47" s="44"/>
      <c r="F47" s="44"/>
      <c r="G47" s="44"/>
      <c r="H47" s="44"/>
      <c r="I47" s="44"/>
      <c r="J47" s="44"/>
      <c r="K47" s="44"/>
      <c r="L47" s="44"/>
      <c r="M47" s="45"/>
      <c r="N47" s="45"/>
      <c r="O47" s="45"/>
      <c r="P47" s="45"/>
      <c r="Q47" s="45"/>
      <c r="R47" s="45"/>
      <c r="S47" s="45"/>
      <c r="T47" s="45"/>
      <c r="U47" s="45"/>
      <c r="V47" s="45">
        <v>0</v>
      </c>
      <c r="W47" s="46"/>
    </row>
    <row r="48" spans="1:23" x14ac:dyDescent="0.25">
      <c r="A48" s="47" t="s">
        <v>104</v>
      </c>
      <c r="B48" s="36">
        <f t="shared" ref="B48:B59" si="22">SUM(C48:V48)</f>
        <v>0</v>
      </c>
      <c r="C48" s="44"/>
      <c r="D48" s="48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4"/>
      <c r="V48" s="44">
        <v>0</v>
      </c>
      <c r="W48" s="46"/>
    </row>
    <row r="49" spans="1:23" x14ac:dyDescent="0.25">
      <c r="A49" s="43" t="s">
        <v>105</v>
      </c>
      <c r="B49" s="36">
        <f t="shared" si="22"/>
        <v>0</v>
      </c>
      <c r="C49" s="44"/>
      <c r="D49" s="48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>
        <v>0</v>
      </c>
      <c r="W49" s="46"/>
    </row>
    <row r="50" spans="1:23" x14ac:dyDescent="0.25">
      <c r="A50" s="47" t="s">
        <v>106</v>
      </c>
      <c r="B50" s="36">
        <f t="shared" si="22"/>
        <v>0</v>
      </c>
      <c r="C50" s="44"/>
      <c r="D50" s="48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6"/>
    </row>
    <row r="51" spans="1:23" x14ac:dyDescent="0.25">
      <c r="A51" s="43" t="s">
        <v>107</v>
      </c>
      <c r="B51" s="36">
        <f t="shared" si="22"/>
        <v>816847</v>
      </c>
      <c r="C51" s="44">
        <v>5570</v>
      </c>
      <c r="D51" s="48">
        <v>3904</v>
      </c>
      <c r="E51" s="44">
        <v>8325</v>
      </c>
      <c r="F51" s="44"/>
      <c r="G51" s="44"/>
      <c r="H51" s="44"/>
      <c r="I51" s="44"/>
      <c r="J51" s="44"/>
      <c r="K51" s="44"/>
      <c r="L51" s="44">
        <v>799048</v>
      </c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2" spans="1:23" x14ac:dyDescent="0.25">
      <c r="A52" s="43" t="s">
        <v>108</v>
      </c>
      <c r="B52" s="36">
        <f t="shared" si="22"/>
        <v>0</v>
      </c>
      <c r="C52" s="44"/>
      <c r="D52" s="48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</row>
    <row r="53" spans="1:23" x14ac:dyDescent="0.25">
      <c r="A53" s="43" t="s">
        <v>109</v>
      </c>
      <c r="B53" s="36">
        <f t="shared" si="22"/>
        <v>0</v>
      </c>
      <c r="C53" s="44"/>
      <c r="D53" s="48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</row>
    <row r="54" spans="1:23" x14ac:dyDescent="0.25">
      <c r="A54" s="43" t="s">
        <v>110</v>
      </c>
      <c r="B54" s="36">
        <f t="shared" si="22"/>
        <v>0</v>
      </c>
      <c r="C54" s="44"/>
      <c r="D54" s="48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</row>
    <row r="55" spans="1:23" x14ac:dyDescent="0.25">
      <c r="A55" s="43" t="s">
        <v>111</v>
      </c>
      <c r="B55" s="36">
        <f t="shared" si="22"/>
        <v>806548</v>
      </c>
      <c r="C55" s="44"/>
      <c r="D55" s="48"/>
      <c r="E55" s="44">
        <v>7500</v>
      </c>
      <c r="F55" s="44"/>
      <c r="G55" s="73">
        <f t="shared" ref="G55:V55" si="23">SUM(G45:G54)</f>
        <v>0</v>
      </c>
      <c r="H55" s="73">
        <f t="shared" si="23"/>
        <v>0</v>
      </c>
      <c r="I55" s="73">
        <f t="shared" si="23"/>
        <v>0</v>
      </c>
      <c r="J55" s="73">
        <f t="shared" si="23"/>
        <v>0</v>
      </c>
      <c r="K55" s="73">
        <f t="shared" si="23"/>
        <v>0</v>
      </c>
      <c r="L55" s="73">
        <f t="shared" si="23"/>
        <v>799048</v>
      </c>
      <c r="M55" s="73">
        <f t="shared" si="23"/>
        <v>0</v>
      </c>
      <c r="N55" s="73">
        <f t="shared" si="23"/>
        <v>0</v>
      </c>
      <c r="O55" s="73">
        <f t="shared" si="23"/>
        <v>0</v>
      </c>
      <c r="P55" s="73">
        <f t="shared" si="23"/>
        <v>0</v>
      </c>
      <c r="Q55" s="73">
        <f t="shared" si="23"/>
        <v>0</v>
      </c>
      <c r="R55" s="73">
        <f t="shared" si="23"/>
        <v>0</v>
      </c>
      <c r="S55" s="73">
        <f t="shared" si="23"/>
        <v>0</v>
      </c>
      <c r="T55" s="73">
        <f t="shared" si="23"/>
        <v>0</v>
      </c>
      <c r="U55" s="73">
        <f t="shared" si="23"/>
        <v>0</v>
      </c>
      <c r="V55" s="73">
        <f t="shared" si="23"/>
        <v>0</v>
      </c>
      <c r="W55" s="46">
        <f>SUM(C55:V55)</f>
        <v>806548</v>
      </c>
    </row>
    <row r="56" spans="1:23" x14ac:dyDescent="0.25">
      <c r="A56" s="43" t="s">
        <v>215</v>
      </c>
      <c r="B56" s="36">
        <f t="shared" si="22"/>
        <v>3000</v>
      </c>
      <c r="C56" s="44">
        <v>3000</v>
      </c>
      <c r="D56" s="48"/>
      <c r="E56" s="44"/>
      <c r="F56" s="44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46"/>
    </row>
    <row r="57" spans="1:23" x14ac:dyDescent="0.25">
      <c r="A57" s="47" t="s">
        <v>112</v>
      </c>
      <c r="B57" s="36">
        <f t="shared" si="22"/>
        <v>0</v>
      </c>
      <c r="C57" s="44"/>
      <c r="D57" s="48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5"/>
      <c r="V57" s="45"/>
      <c r="W57" s="46"/>
    </row>
    <row r="58" spans="1:23" x14ac:dyDescent="0.25">
      <c r="A58" s="43" t="s">
        <v>216</v>
      </c>
      <c r="B58" s="36">
        <f t="shared" si="22"/>
        <v>0</v>
      </c>
      <c r="C58" s="44"/>
      <c r="D58" s="48"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5"/>
      <c r="V58" s="45"/>
      <c r="W58" s="46"/>
    </row>
    <row r="59" spans="1:23" x14ac:dyDescent="0.25">
      <c r="A59" s="43" t="s">
        <v>217</v>
      </c>
      <c r="B59" s="36">
        <f t="shared" si="22"/>
        <v>2500</v>
      </c>
      <c r="C59" s="44">
        <v>2500</v>
      </c>
      <c r="D59" s="48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5"/>
      <c r="V59" s="45"/>
      <c r="W59" s="46"/>
    </row>
    <row r="60" spans="1:23" x14ac:dyDescent="0.25">
      <c r="A60" s="72" t="s">
        <v>113</v>
      </c>
      <c r="B60" s="73">
        <f>SUM(B47:B59)</f>
        <v>1628895</v>
      </c>
      <c r="C60" s="73">
        <f>SUM(C47:C59)</f>
        <v>11070</v>
      </c>
      <c r="D60" s="73">
        <f t="shared" ref="D60:F60" si="24">SUM(D47:D59)</f>
        <v>3904</v>
      </c>
      <c r="E60" s="73">
        <f t="shared" si="24"/>
        <v>15825</v>
      </c>
      <c r="F60" s="73">
        <f t="shared" si="24"/>
        <v>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  <c r="V60" s="45"/>
      <c r="W60" s="46"/>
    </row>
    <row r="61" spans="1:23" x14ac:dyDescent="0.25">
      <c r="A61" s="74" t="s">
        <v>114</v>
      </c>
      <c r="B61" s="75"/>
      <c r="C61" s="75"/>
      <c r="D61" s="75"/>
      <c r="E61" s="75"/>
      <c r="F61" s="75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5"/>
      <c r="V61" s="45"/>
      <c r="W61" s="46"/>
    </row>
    <row r="62" spans="1:23" x14ac:dyDescent="0.25">
      <c r="A62" s="76" t="s">
        <v>115</v>
      </c>
      <c r="B62" s="36">
        <f>SUM(C62:I62)</f>
        <v>71496.142871999997</v>
      </c>
      <c r="C62" s="44">
        <f>C3*2.74%</f>
        <v>30966.412496000001</v>
      </c>
      <c r="D62" s="44">
        <f>D3*2.74%</f>
        <v>10576.242176</v>
      </c>
      <c r="E62" s="44">
        <f>E3*2.74%</f>
        <v>22379.196599999999</v>
      </c>
      <c r="F62" s="44">
        <f>F3*2.74%</f>
        <v>7574.2916000000005</v>
      </c>
      <c r="G62" s="78">
        <f t="shared" ref="G62:V62" si="25">SUM(G57:G61)</f>
        <v>0</v>
      </c>
      <c r="H62" s="78">
        <f t="shared" si="25"/>
        <v>0</v>
      </c>
      <c r="I62" s="78">
        <f t="shared" si="25"/>
        <v>0</v>
      </c>
      <c r="J62" s="78">
        <f t="shared" si="25"/>
        <v>0</v>
      </c>
      <c r="K62" s="78">
        <f t="shared" si="25"/>
        <v>0</v>
      </c>
      <c r="L62" s="78">
        <f t="shared" si="25"/>
        <v>0</v>
      </c>
      <c r="M62" s="78">
        <f t="shared" si="25"/>
        <v>0</v>
      </c>
      <c r="N62" s="78">
        <f t="shared" si="25"/>
        <v>0</v>
      </c>
      <c r="O62" s="78">
        <f t="shared" si="25"/>
        <v>0</v>
      </c>
      <c r="P62" s="78">
        <f t="shared" si="25"/>
        <v>0</v>
      </c>
      <c r="Q62" s="78">
        <f t="shared" si="25"/>
        <v>0</v>
      </c>
      <c r="R62" s="78">
        <f t="shared" si="25"/>
        <v>0</v>
      </c>
      <c r="S62" s="78">
        <f t="shared" si="25"/>
        <v>0</v>
      </c>
      <c r="T62" s="78">
        <f t="shared" si="25"/>
        <v>0</v>
      </c>
      <c r="U62" s="78">
        <f t="shared" si="25"/>
        <v>0</v>
      </c>
      <c r="V62" s="78">
        <f t="shared" si="25"/>
        <v>0</v>
      </c>
      <c r="W62" s="46">
        <f>SUM(C62:V62)</f>
        <v>71496.142871999997</v>
      </c>
    </row>
    <row r="63" spans="1:23" x14ac:dyDescent="0.25">
      <c r="A63" s="76" t="s">
        <v>116</v>
      </c>
      <c r="B63" s="36" t="e">
        <f>SUM(C63:I63)</f>
        <v>#DIV/0!</v>
      </c>
      <c r="C63" s="44">
        <v>15383</v>
      </c>
      <c r="D63" s="44">
        <v>15383</v>
      </c>
      <c r="E63" s="44">
        <v>15383</v>
      </c>
      <c r="F63" s="44"/>
      <c r="G63" s="79" t="e">
        <f t="shared" ref="G63:S63" si="26">(+G62+G55+G41)/G3</f>
        <v>#DIV/0!</v>
      </c>
      <c r="H63" s="79" t="e">
        <f t="shared" si="26"/>
        <v>#DIV/0!</v>
      </c>
      <c r="I63" s="79" t="e">
        <f t="shared" si="26"/>
        <v>#DIV/0!</v>
      </c>
      <c r="J63" s="79">
        <f t="shared" si="26"/>
        <v>0</v>
      </c>
      <c r="K63" s="79">
        <f t="shared" si="26"/>
        <v>0</v>
      </c>
      <c r="L63" s="79">
        <f t="shared" si="26"/>
        <v>1.0000000375446796</v>
      </c>
      <c r="M63" s="79" t="e">
        <f t="shared" si="26"/>
        <v>#DIV/0!</v>
      </c>
      <c r="N63" s="79">
        <f t="shared" si="26"/>
        <v>0.2293836986592892</v>
      </c>
      <c r="O63" s="79" t="e">
        <f t="shared" si="26"/>
        <v>#DIV/0!</v>
      </c>
      <c r="P63" s="79" t="e">
        <f t="shared" si="26"/>
        <v>#DIV/0!</v>
      </c>
      <c r="Q63" s="79" t="e">
        <f t="shared" si="26"/>
        <v>#DIV/0!</v>
      </c>
      <c r="R63" s="79" t="e">
        <f t="shared" si="26"/>
        <v>#DIV/0!</v>
      </c>
      <c r="S63" s="79" t="e">
        <f t="shared" si="26"/>
        <v>#DIV/0!</v>
      </c>
      <c r="T63" s="79">
        <f>(+T62+T55+T41)/T5</f>
        <v>7.7528934019687384E-2</v>
      </c>
      <c r="U63" s="79" t="e">
        <f>(+U62+U55+U41)/U3</f>
        <v>#DIV/0!</v>
      </c>
      <c r="V63" s="79" t="e">
        <f>(+V62+V55+V41)/V3</f>
        <v>#DIV/0!</v>
      </c>
      <c r="W63" s="46"/>
    </row>
    <row r="64" spans="1:23" x14ac:dyDescent="0.25">
      <c r="A64" s="56" t="s">
        <v>117</v>
      </c>
      <c r="B64" s="36">
        <f>SUM(C64:I64)</f>
        <v>10000</v>
      </c>
      <c r="C64" s="44">
        <v>5000</v>
      </c>
      <c r="D64" s="44">
        <v>5000</v>
      </c>
      <c r="E64" s="44">
        <v>0</v>
      </c>
      <c r="F64" s="44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46"/>
    </row>
    <row r="65" spans="1:23" x14ac:dyDescent="0.25">
      <c r="A65" s="56" t="s">
        <v>118</v>
      </c>
      <c r="B65" s="36">
        <f>SUM(C65:I65)</f>
        <v>45000</v>
      </c>
      <c r="C65" s="44">
        <v>30000</v>
      </c>
      <c r="D65" s="44">
        <v>5000</v>
      </c>
      <c r="E65" s="44">
        <v>10000</v>
      </c>
      <c r="F65" s="44"/>
      <c r="G65" s="44"/>
      <c r="H65" s="44"/>
      <c r="I65" s="44"/>
      <c r="J65" s="44"/>
      <c r="K65" s="44"/>
      <c r="L65" s="44"/>
      <c r="M65" s="45"/>
      <c r="N65" s="45">
        <v>4030</v>
      </c>
      <c r="O65" s="45"/>
      <c r="P65" s="45"/>
      <c r="Q65" s="45"/>
      <c r="R65" s="45"/>
      <c r="S65" s="45"/>
      <c r="T65" s="45"/>
      <c r="U65" s="44"/>
      <c r="V65" s="44">
        <v>4300</v>
      </c>
      <c r="W65" s="46"/>
    </row>
    <row r="66" spans="1:23" x14ac:dyDescent="0.25">
      <c r="A66" s="56" t="s">
        <v>70</v>
      </c>
      <c r="B66" s="36">
        <f>SUM(C66:I66)</f>
        <v>100952.57</v>
      </c>
      <c r="C66" s="44">
        <v>50476.57</v>
      </c>
      <c r="D66" s="44">
        <v>25238</v>
      </c>
      <c r="E66" s="44">
        <v>25238</v>
      </c>
      <c r="F66" s="44"/>
      <c r="G66" s="44"/>
      <c r="H66" s="44"/>
      <c r="I66" s="44"/>
      <c r="J66" s="44"/>
      <c r="K66" s="44"/>
      <c r="L66" s="44"/>
      <c r="M66" s="45"/>
      <c r="N66" s="45"/>
      <c r="O66" s="45"/>
      <c r="P66" s="45"/>
      <c r="Q66" s="45"/>
      <c r="R66" s="45"/>
      <c r="S66" s="45"/>
      <c r="T66" s="45"/>
      <c r="U66" s="44"/>
      <c r="V66" s="44"/>
      <c r="W66" s="46"/>
    </row>
    <row r="67" spans="1:23" x14ac:dyDescent="0.25">
      <c r="A67" s="77" t="s">
        <v>119</v>
      </c>
      <c r="B67" s="78" t="e">
        <f t="shared" ref="B67:F67" si="27">SUM(B62:B66)</f>
        <v>#DIV/0!</v>
      </c>
      <c r="C67" s="78">
        <f t="shared" si="27"/>
        <v>131825.98249600001</v>
      </c>
      <c r="D67" s="78">
        <f t="shared" si="27"/>
        <v>61197.242176</v>
      </c>
      <c r="E67" s="78">
        <f t="shared" si="27"/>
        <v>73000.196599999996</v>
      </c>
      <c r="F67" s="78">
        <f t="shared" si="27"/>
        <v>7574.2916000000005</v>
      </c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45">
        <v>0</v>
      </c>
      <c r="W67" s="46"/>
    </row>
    <row r="68" spans="1:23" x14ac:dyDescent="0.25">
      <c r="A68" s="77" t="s">
        <v>120</v>
      </c>
      <c r="B68" s="79" t="e">
        <f t="shared" ref="B68:F68" si="28">(+B67+B60+B43)/B3</f>
        <v>#DIV/0!</v>
      </c>
      <c r="C68" s="79">
        <f t="shared" si="28"/>
        <v>0.63305821583709876</v>
      </c>
      <c r="D68" s="79">
        <f t="shared" si="28"/>
        <v>1.0547410297521538</v>
      </c>
      <c r="E68" s="79">
        <f t="shared" si="28"/>
        <v>0.96350261912632751</v>
      </c>
      <c r="F68" s="79">
        <f t="shared" si="28"/>
        <v>5.7316725149583629E-2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5"/>
      <c r="V68" s="45"/>
      <c r="W68" s="46"/>
    </row>
    <row r="69" spans="1:23" x14ac:dyDescent="0.25">
      <c r="A69" s="80" t="s">
        <v>121</v>
      </c>
      <c r="B69" s="81"/>
      <c r="C69" s="82"/>
      <c r="D69" s="82"/>
      <c r="E69" s="82"/>
      <c r="F69" s="82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5"/>
      <c r="V69" s="45"/>
      <c r="W69" s="46"/>
    </row>
    <row r="70" spans="1:23" x14ac:dyDescent="0.25">
      <c r="A70" s="43" t="s">
        <v>122</v>
      </c>
      <c r="B70" s="36">
        <f t="shared" ref="B70:B76" si="29">SUM(C70:V70)</f>
        <v>121749.84</v>
      </c>
      <c r="C70" s="44">
        <f>65000+6000</f>
        <v>71000</v>
      </c>
      <c r="D70" s="48">
        <f>5004.27+874.71</f>
        <v>5878.9800000000005</v>
      </c>
      <c r="E70" s="44">
        <v>44870.86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5"/>
      <c r="V70" s="45"/>
      <c r="W70" s="46"/>
    </row>
    <row r="71" spans="1:23" x14ac:dyDescent="0.25">
      <c r="A71" s="43" t="s">
        <v>123</v>
      </c>
      <c r="B71" s="36">
        <f t="shared" si="29"/>
        <v>10226.790000000001</v>
      </c>
      <c r="C71" s="44">
        <v>7790</v>
      </c>
      <c r="D71" s="48">
        <v>1062.79</v>
      </c>
      <c r="E71" s="44">
        <v>1374</v>
      </c>
      <c r="F71" s="44"/>
      <c r="G71" s="44"/>
      <c r="H71" s="44"/>
      <c r="I71" s="44"/>
      <c r="J71" s="44"/>
      <c r="K71" s="44"/>
      <c r="L71" s="44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6"/>
    </row>
    <row r="72" spans="1:23" x14ac:dyDescent="0.25">
      <c r="A72" s="76" t="s">
        <v>124</v>
      </c>
      <c r="B72" s="36">
        <f t="shared" si="29"/>
        <v>3000</v>
      </c>
      <c r="C72" s="44">
        <v>3000</v>
      </c>
      <c r="D72" s="44">
        <v>0</v>
      </c>
      <c r="E72" s="44">
        <v>0</v>
      </c>
      <c r="F72" s="44"/>
      <c r="G72" s="44"/>
      <c r="H72" s="44"/>
      <c r="I72" s="44"/>
      <c r="J72" s="44"/>
      <c r="K72" s="44"/>
      <c r="L72" s="44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6"/>
    </row>
    <row r="73" spans="1:23" x14ac:dyDescent="0.25">
      <c r="A73" s="76" t="s">
        <v>14</v>
      </c>
      <c r="B73" s="36">
        <f t="shared" si="29"/>
        <v>4093.76</v>
      </c>
      <c r="C73" s="44">
        <v>3115</v>
      </c>
      <c r="D73" s="44">
        <v>729.22</v>
      </c>
      <c r="E73" s="44">
        <v>249.54</v>
      </c>
      <c r="F73" s="44"/>
      <c r="G73" s="44"/>
      <c r="H73" s="44"/>
      <c r="I73" s="44"/>
      <c r="J73" s="44"/>
      <c r="K73" s="44"/>
      <c r="L73" s="44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6"/>
    </row>
    <row r="74" spans="1:23" x14ac:dyDescent="0.25">
      <c r="A74" s="76" t="s">
        <v>125</v>
      </c>
      <c r="B74" s="36">
        <f t="shared" si="29"/>
        <v>800</v>
      </c>
      <c r="C74" s="44">
        <v>400</v>
      </c>
      <c r="D74" s="44"/>
      <c r="E74" s="44">
        <v>400</v>
      </c>
      <c r="F74" s="44"/>
      <c r="G74" s="44"/>
      <c r="H74" s="44"/>
      <c r="I74" s="44"/>
      <c r="J74" s="44"/>
      <c r="K74" s="44"/>
      <c r="L74" s="44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6"/>
    </row>
    <row r="75" spans="1:23" x14ac:dyDescent="0.25">
      <c r="A75" s="56" t="s">
        <v>126</v>
      </c>
      <c r="B75" s="36">
        <f t="shared" si="29"/>
        <v>1242.98</v>
      </c>
      <c r="C75" s="44">
        <v>500</v>
      </c>
      <c r="D75" s="44">
        <f>178.59+64.39</f>
        <v>242.98000000000002</v>
      </c>
      <c r="E75" s="44">
        <v>500</v>
      </c>
      <c r="F75" s="44"/>
      <c r="G75" s="44"/>
      <c r="H75" s="44"/>
      <c r="I75" s="44"/>
      <c r="J75" s="44"/>
      <c r="K75" s="44"/>
      <c r="L75" s="44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</row>
    <row r="76" spans="1:23" x14ac:dyDescent="0.25">
      <c r="A76" s="76" t="s">
        <v>127</v>
      </c>
      <c r="B76" s="36">
        <f t="shared" si="29"/>
        <v>991.44</v>
      </c>
      <c r="C76" s="44">
        <v>945.08</v>
      </c>
      <c r="D76" s="48"/>
      <c r="E76" s="44">
        <v>46.36</v>
      </c>
      <c r="F76" s="44"/>
      <c r="G76" s="44"/>
      <c r="H76" s="44"/>
      <c r="I76" s="44"/>
      <c r="J76" s="44"/>
      <c r="K76" s="44"/>
      <c r="L76" s="44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</row>
    <row r="77" spans="1:23" x14ac:dyDescent="0.25">
      <c r="A77" s="56" t="s">
        <v>128</v>
      </c>
      <c r="B77" s="36">
        <f>SUM(C77:V77)</f>
        <v>15723.2</v>
      </c>
      <c r="C77" s="44">
        <v>9139.5400000000009</v>
      </c>
      <c r="D77" s="48"/>
      <c r="E77" s="44">
        <v>6583.66</v>
      </c>
      <c r="F77" s="44"/>
      <c r="G77" s="44"/>
      <c r="H77" s="44"/>
      <c r="I77" s="44"/>
      <c r="J77" s="44"/>
      <c r="K77" s="44"/>
      <c r="L77" s="44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</row>
    <row r="78" spans="1:23" x14ac:dyDescent="0.25">
      <c r="A78" s="76" t="s">
        <v>129</v>
      </c>
      <c r="B78" s="36">
        <f t="shared" ref="B78:B82" si="30">SUM(C78:V78)</f>
        <v>500</v>
      </c>
      <c r="C78" s="44">
        <v>500</v>
      </c>
      <c r="D78" s="48"/>
      <c r="E78" s="44"/>
      <c r="F78" s="44"/>
      <c r="G78" s="44"/>
      <c r="H78" s="44"/>
      <c r="I78" s="44"/>
      <c r="J78" s="44"/>
      <c r="K78" s="44"/>
      <c r="L78" s="44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</row>
    <row r="79" spans="1:23" x14ac:dyDescent="0.25">
      <c r="A79" s="76" t="s">
        <v>16</v>
      </c>
      <c r="B79" s="36">
        <f t="shared" si="30"/>
        <v>1000</v>
      </c>
      <c r="C79" s="44">
        <v>1000</v>
      </c>
      <c r="D79" s="48"/>
      <c r="E79" s="44"/>
      <c r="F79" s="44"/>
      <c r="G79" s="44"/>
      <c r="H79" s="44"/>
      <c r="I79" s="44"/>
      <c r="J79" s="44"/>
      <c r="K79" s="44"/>
      <c r="L79" s="44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</row>
    <row r="80" spans="1:23" x14ac:dyDescent="0.25">
      <c r="A80" s="76" t="s">
        <v>17</v>
      </c>
      <c r="B80" s="36">
        <f t="shared" si="30"/>
        <v>12162.61</v>
      </c>
      <c r="C80" s="44">
        <v>5979</v>
      </c>
      <c r="D80" s="48"/>
      <c r="E80" s="44">
        <v>6183.61</v>
      </c>
      <c r="F80" s="44"/>
      <c r="G80" s="44"/>
      <c r="H80" s="44"/>
      <c r="I80" s="44"/>
      <c r="J80" s="44"/>
      <c r="K80" s="44"/>
      <c r="L80" s="44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6"/>
    </row>
    <row r="81" spans="1:23" x14ac:dyDescent="0.25">
      <c r="A81" s="76" t="s">
        <v>130</v>
      </c>
      <c r="B81" s="36">
        <f t="shared" si="30"/>
        <v>0</v>
      </c>
      <c r="C81" s="44"/>
      <c r="D81" s="48"/>
      <c r="E81" s="44"/>
      <c r="F81" s="44"/>
      <c r="G81" s="44"/>
      <c r="H81" s="44"/>
      <c r="I81" s="44"/>
      <c r="J81" s="44"/>
      <c r="K81" s="44"/>
      <c r="L81" s="44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</row>
    <row r="82" spans="1:23" x14ac:dyDescent="0.25">
      <c r="A82" s="76" t="s">
        <v>18</v>
      </c>
      <c r="B82" s="36">
        <f t="shared" si="30"/>
        <v>5877.8</v>
      </c>
      <c r="C82" s="44">
        <v>2500</v>
      </c>
      <c r="D82" s="48">
        <v>169.8</v>
      </c>
      <c r="E82" s="44">
        <v>3208</v>
      </c>
      <c r="F82" s="44"/>
      <c r="G82" s="44"/>
      <c r="H82" s="44"/>
      <c r="I82" s="44"/>
      <c r="J82" s="44"/>
      <c r="K82" s="44"/>
      <c r="L82" s="44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</row>
    <row r="83" spans="1:23" x14ac:dyDescent="0.25">
      <c r="A83" s="76" t="s">
        <v>131</v>
      </c>
      <c r="B83" s="36">
        <f t="shared" ref="B83:B90" si="31">SUM(C83:I83)</f>
        <v>6300</v>
      </c>
      <c r="C83" s="44">
        <v>300</v>
      </c>
      <c r="D83" s="48"/>
      <c r="E83" s="44"/>
      <c r="F83" s="44"/>
      <c r="G83" s="44">
        <v>6000</v>
      </c>
      <c r="H83" s="44"/>
      <c r="I83" s="44"/>
      <c r="J83" s="44"/>
      <c r="K83" s="44"/>
      <c r="L83" s="4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</row>
    <row r="84" spans="1:23" x14ac:dyDescent="0.25">
      <c r="A84" s="76" t="s">
        <v>19</v>
      </c>
      <c r="B84" s="36">
        <f t="shared" si="31"/>
        <v>200</v>
      </c>
      <c r="C84" s="44">
        <v>200</v>
      </c>
      <c r="D84" s="48"/>
      <c r="E84" s="44"/>
      <c r="F84" s="44"/>
      <c r="G84" s="44"/>
      <c r="H84" s="44"/>
      <c r="I84" s="44"/>
      <c r="J84" s="44"/>
      <c r="K84" s="44"/>
      <c r="L84" s="44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</row>
    <row r="85" spans="1:23" x14ac:dyDescent="0.25">
      <c r="A85" s="56" t="s">
        <v>132</v>
      </c>
      <c r="B85" s="36">
        <f t="shared" si="31"/>
        <v>1000</v>
      </c>
      <c r="C85" s="44">
        <v>1000</v>
      </c>
      <c r="D85" s="48"/>
      <c r="E85" s="44"/>
      <c r="F85" s="44"/>
      <c r="G85" s="44"/>
      <c r="H85" s="44"/>
      <c r="I85" s="44"/>
      <c r="J85" s="44"/>
      <c r="K85" s="44"/>
      <c r="L85" s="4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6"/>
    </row>
    <row r="86" spans="1:23" x14ac:dyDescent="0.25">
      <c r="A86" s="76" t="s">
        <v>21</v>
      </c>
      <c r="B86" s="36">
        <f t="shared" si="31"/>
        <v>6400</v>
      </c>
      <c r="C86" s="44">
        <v>400</v>
      </c>
      <c r="D86" s="48"/>
      <c r="E86" s="44"/>
      <c r="F86" s="44"/>
      <c r="G86" s="81">
        <f t="shared" ref="G86:V86" si="32">SUM(G65:G85)</f>
        <v>6000</v>
      </c>
      <c r="H86" s="81">
        <f t="shared" si="32"/>
        <v>0</v>
      </c>
      <c r="I86" s="81">
        <f t="shared" si="32"/>
        <v>0</v>
      </c>
      <c r="J86" s="81">
        <f t="shared" si="32"/>
        <v>0</v>
      </c>
      <c r="K86" s="81">
        <f t="shared" si="32"/>
        <v>0</v>
      </c>
      <c r="L86" s="81">
        <f t="shared" si="32"/>
        <v>0</v>
      </c>
      <c r="M86" s="81">
        <f t="shared" si="32"/>
        <v>0</v>
      </c>
      <c r="N86" s="81">
        <f t="shared" si="32"/>
        <v>4030</v>
      </c>
      <c r="O86" s="81">
        <f t="shared" si="32"/>
        <v>0</v>
      </c>
      <c r="P86" s="81">
        <f t="shared" si="32"/>
        <v>0</v>
      </c>
      <c r="Q86" s="81">
        <f t="shared" si="32"/>
        <v>0</v>
      </c>
      <c r="R86" s="81">
        <f t="shared" si="32"/>
        <v>0</v>
      </c>
      <c r="S86" s="81">
        <f t="shared" si="32"/>
        <v>0</v>
      </c>
      <c r="T86" s="81">
        <f t="shared" si="32"/>
        <v>0</v>
      </c>
      <c r="U86" s="81">
        <f t="shared" si="32"/>
        <v>0</v>
      </c>
      <c r="V86" s="81">
        <f t="shared" si="32"/>
        <v>4300</v>
      </c>
      <c r="W86" s="46">
        <f>SUM(C86:V86)</f>
        <v>14730</v>
      </c>
    </row>
    <row r="87" spans="1:23" s="85" customFormat="1" x14ac:dyDescent="0.25">
      <c r="A87" s="76" t="s">
        <v>133</v>
      </c>
      <c r="B87" s="36">
        <f t="shared" si="31"/>
        <v>28394.16</v>
      </c>
      <c r="C87" s="44">
        <v>200</v>
      </c>
      <c r="D87" s="48"/>
      <c r="E87" s="44"/>
      <c r="F87" s="44"/>
      <c r="G87" s="69">
        <f t="shared" ref="G87:K87" si="33">+G43-G55-G62-G86</f>
        <v>1200</v>
      </c>
      <c r="H87" s="69">
        <f t="shared" si="33"/>
        <v>26994.16</v>
      </c>
      <c r="I87" s="69">
        <f t="shared" si="33"/>
        <v>0</v>
      </c>
      <c r="J87" s="69">
        <f t="shared" si="33"/>
        <v>133802.92000000001</v>
      </c>
      <c r="K87" s="69">
        <f t="shared" si="33"/>
        <v>10501.65</v>
      </c>
      <c r="L87" s="69">
        <f t="shared" ref="L87:V87" si="34">+L43-L55-L86</f>
        <v>-3.0000000027939677E-2</v>
      </c>
      <c r="M87" s="69">
        <f t="shared" si="34"/>
        <v>0</v>
      </c>
      <c r="N87" s="69">
        <f t="shared" si="34"/>
        <v>32181.260000000002</v>
      </c>
      <c r="O87" s="69">
        <f t="shared" si="34"/>
        <v>236815</v>
      </c>
      <c r="P87" s="69">
        <f t="shared" si="34"/>
        <v>315000</v>
      </c>
      <c r="Q87" s="69">
        <f t="shared" si="34"/>
        <v>275389.90999999997</v>
      </c>
      <c r="R87" s="69">
        <f t="shared" si="34"/>
        <v>393743.57999999996</v>
      </c>
      <c r="S87" s="69">
        <f t="shared" si="34"/>
        <v>10214.479999999981</v>
      </c>
      <c r="T87" s="69">
        <f t="shared" si="34"/>
        <v>525002.36</v>
      </c>
      <c r="U87" s="69">
        <f t="shared" si="34"/>
        <v>170528.23</v>
      </c>
      <c r="V87" s="69">
        <f t="shared" si="34"/>
        <v>61856</v>
      </c>
      <c r="W87" s="46">
        <f>SUM(C87:V87)</f>
        <v>2193429.5199999996</v>
      </c>
    </row>
    <row r="88" spans="1:23" x14ac:dyDescent="0.25">
      <c r="A88" s="76" t="s">
        <v>22</v>
      </c>
      <c r="B88" s="36">
        <f t="shared" si="31"/>
        <v>17337.89</v>
      </c>
      <c r="C88" s="44">
        <v>12000</v>
      </c>
      <c r="D88" s="48"/>
      <c r="E88" s="44">
        <v>5337.89</v>
      </c>
      <c r="F88" s="44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46"/>
    </row>
    <row r="89" spans="1:23" x14ac:dyDescent="0.25">
      <c r="A89" s="56" t="s">
        <v>134</v>
      </c>
      <c r="B89" s="36">
        <f t="shared" si="31"/>
        <v>0</v>
      </c>
      <c r="C89" s="44"/>
      <c r="D89" s="48"/>
      <c r="E89" s="44"/>
      <c r="F89" s="44"/>
      <c r="G89" s="44"/>
      <c r="H89" s="44"/>
      <c r="I89" s="44"/>
      <c r="J89" s="44"/>
      <c r="K89" s="44"/>
      <c r="L89" s="44"/>
      <c r="M89" s="45"/>
      <c r="N89" s="45"/>
      <c r="O89" s="45"/>
      <c r="P89" s="45"/>
      <c r="Q89" s="45"/>
      <c r="R89" s="45"/>
      <c r="S89" s="45"/>
      <c r="T89" s="45"/>
      <c r="U89" s="44"/>
      <c r="V89" s="44"/>
      <c r="W89" s="46">
        <f>SUM(C89:V89)</f>
        <v>0</v>
      </c>
    </row>
    <row r="90" spans="1:23" x14ac:dyDescent="0.25">
      <c r="A90" s="76" t="s">
        <v>112</v>
      </c>
      <c r="B90" s="36">
        <f t="shared" si="31"/>
        <v>0</v>
      </c>
      <c r="C90" s="44"/>
      <c r="D90" s="48"/>
      <c r="E90" s="44"/>
      <c r="F90" s="44"/>
      <c r="G90" s="44"/>
      <c r="H90" s="44"/>
      <c r="I90" s="44"/>
      <c r="J90" s="44">
        <v>133803</v>
      </c>
      <c r="K90" s="44">
        <v>10502</v>
      </c>
      <c r="L90" s="88"/>
      <c r="M90" s="45">
        <v>0</v>
      </c>
      <c r="N90" s="45"/>
      <c r="O90" s="45">
        <v>262141</v>
      </c>
      <c r="P90" s="45">
        <f t="shared" ref="P90:U90" si="35">P87</f>
        <v>315000</v>
      </c>
      <c r="Q90" s="89">
        <f t="shared" si="35"/>
        <v>275389.90999999997</v>
      </c>
      <c r="R90" s="89">
        <f t="shared" si="35"/>
        <v>393743.57999999996</v>
      </c>
      <c r="S90" s="45">
        <f t="shared" si="35"/>
        <v>10214.479999999981</v>
      </c>
      <c r="T90" s="45">
        <f t="shared" si="35"/>
        <v>525002.36</v>
      </c>
      <c r="U90" s="45">
        <f t="shared" si="35"/>
        <v>170528.23</v>
      </c>
      <c r="V90" s="45">
        <v>61856</v>
      </c>
      <c r="W90" s="46">
        <f>SUM(C90:V90)</f>
        <v>2158180.5599999996</v>
      </c>
    </row>
    <row r="91" spans="1:23" x14ac:dyDescent="0.25">
      <c r="A91" s="83" t="s">
        <v>135</v>
      </c>
      <c r="B91" s="81">
        <f t="shared" ref="B91:F91" si="36">SUM(B70:B90)</f>
        <v>237000.47000000003</v>
      </c>
      <c r="C91" s="81">
        <f t="shared" si="36"/>
        <v>119968.62</v>
      </c>
      <c r="D91" s="81">
        <f t="shared" si="36"/>
        <v>8083.7700000000013</v>
      </c>
      <c r="E91" s="81">
        <f t="shared" si="36"/>
        <v>68753.919999999998</v>
      </c>
      <c r="F91" s="81">
        <f t="shared" si="36"/>
        <v>0</v>
      </c>
      <c r="G91" s="44"/>
      <c r="H91" s="44"/>
      <c r="I91" s="44"/>
      <c r="J91" s="44"/>
      <c r="K91" s="44"/>
      <c r="L91" s="88"/>
      <c r="M91" s="45"/>
      <c r="N91" s="45"/>
      <c r="O91" s="45"/>
      <c r="P91" s="45"/>
      <c r="Q91" s="89"/>
      <c r="R91" s="89"/>
      <c r="S91" s="45"/>
      <c r="T91" s="45"/>
      <c r="U91" s="45"/>
      <c r="V91" s="45"/>
      <c r="W91" s="46"/>
    </row>
    <row r="92" spans="1:23" x14ac:dyDescent="0.25">
      <c r="A92" s="84" t="s">
        <v>136</v>
      </c>
      <c r="B92" s="69" t="e">
        <f t="shared" ref="B92:F92" si="37">+B45-B60-B67-B91</f>
        <v>#DIV/0!</v>
      </c>
      <c r="C92" s="69">
        <f t="shared" si="37"/>
        <v>483492.94840900006</v>
      </c>
      <c r="D92" s="69">
        <f t="shared" si="37"/>
        <v>78466.37782400001</v>
      </c>
      <c r="E92" s="69">
        <f t="shared" si="37"/>
        <v>78589.324304999856</v>
      </c>
      <c r="F92" s="69">
        <f t="shared" si="37"/>
        <v>260589.7084</v>
      </c>
      <c r="G92" s="44"/>
      <c r="H92" s="44"/>
      <c r="I92" s="44"/>
      <c r="J92" s="44"/>
      <c r="K92" s="44"/>
      <c r="L92" s="88"/>
      <c r="M92" s="45"/>
      <c r="N92" s="45"/>
      <c r="O92" s="45"/>
      <c r="P92" s="45"/>
      <c r="Q92" s="89"/>
      <c r="R92" s="89"/>
      <c r="S92" s="45"/>
      <c r="T92" s="45"/>
      <c r="U92" s="45"/>
      <c r="V92" s="45"/>
      <c r="W92" s="46"/>
    </row>
    <row r="93" spans="1:23" x14ac:dyDescent="0.25">
      <c r="A93" s="86" t="s">
        <v>137</v>
      </c>
      <c r="B93" s="87"/>
      <c r="C93" s="87"/>
      <c r="D93" s="87"/>
      <c r="E93" s="87"/>
      <c r="F93" s="87"/>
      <c r="G93" s="44"/>
      <c r="H93" s="44"/>
      <c r="I93" s="44"/>
      <c r="J93" s="44"/>
      <c r="K93" s="44"/>
      <c r="L93" s="88"/>
      <c r="M93" s="45"/>
      <c r="N93" s="45"/>
      <c r="O93" s="45"/>
      <c r="P93" s="45"/>
      <c r="Q93" s="89"/>
      <c r="R93" s="89"/>
      <c r="S93" s="45"/>
      <c r="T93" s="45"/>
      <c r="U93" s="45"/>
      <c r="V93" s="45"/>
      <c r="W93" s="46"/>
    </row>
    <row r="94" spans="1:23" x14ac:dyDescent="0.25">
      <c r="A94" s="43" t="s">
        <v>138</v>
      </c>
      <c r="B94" s="36">
        <f>SUM(C94:I94)</f>
        <v>260589.7084</v>
      </c>
      <c r="C94" s="44"/>
      <c r="D94" s="48"/>
      <c r="E94" s="44"/>
      <c r="F94" s="44">
        <f>F92</f>
        <v>260589.7084</v>
      </c>
      <c r="G94" s="44"/>
      <c r="H94" s="44"/>
      <c r="I94" s="44"/>
      <c r="J94" s="44"/>
      <c r="K94" s="44"/>
      <c r="L94" s="88"/>
      <c r="M94" s="45"/>
      <c r="N94" s="45"/>
      <c r="O94" s="45"/>
      <c r="P94" s="45"/>
      <c r="Q94" s="89"/>
      <c r="R94" s="89"/>
      <c r="S94" s="45"/>
      <c r="T94" s="45"/>
      <c r="U94" s="45"/>
      <c r="V94" s="45"/>
      <c r="W94" s="46"/>
    </row>
    <row r="95" spans="1:23" x14ac:dyDescent="0.25">
      <c r="A95" s="43" t="s">
        <v>139</v>
      </c>
      <c r="B95" s="36">
        <f>SUM(C95:V95)</f>
        <v>0</v>
      </c>
      <c r="C95" s="44"/>
      <c r="D95" s="48"/>
      <c r="E95" s="44"/>
      <c r="F95" s="44"/>
      <c r="G95" s="44"/>
      <c r="H95" s="44"/>
      <c r="I95" s="44"/>
      <c r="J95" s="44"/>
      <c r="K95" s="44"/>
      <c r="L95" s="88"/>
      <c r="M95" s="45"/>
      <c r="N95" s="45"/>
      <c r="O95" s="45"/>
      <c r="P95" s="45"/>
      <c r="Q95" s="89"/>
      <c r="R95" s="89"/>
      <c r="S95" s="45"/>
      <c r="T95" s="45"/>
      <c r="U95" s="45"/>
      <c r="V95" s="45"/>
      <c r="W95" s="46"/>
    </row>
    <row r="96" spans="1:23" x14ac:dyDescent="0.25">
      <c r="A96" s="43" t="s">
        <v>218</v>
      </c>
      <c r="B96" s="36">
        <f>SUM(C96:V96)</f>
        <v>77728.73</v>
      </c>
      <c r="C96" s="44">
        <v>31748.73</v>
      </c>
      <c r="D96" s="48">
        <v>45980</v>
      </c>
      <c r="E96" s="44"/>
      <c r="F96" s="44"/>
      <c r="G96" s="44"/>
      <c r="H96" s="44"/>
      <c r="I96" s="44"/>
      <c r="J96" s="44"/>
      <c r="K96" s="44"/>
      <c r="L96" s="88"/>
      <c r="M96" s="45"/>
      <c r="N96" s="45"/>
      <c r="O96" s="45"/>
      <c r="P96" s="45"/>
      <c r="Q96" s="89"/>
      <c r="R96" s="89"/>
      <c r="S96" s="45"/>
      <c r="T96" s="45"/>
      <c r="U96" s="45"/>
      <c r="V96" s="45"/>
      <c r="W96" s="46"/>
    </row>
    <row r="97" spans="1:23" x14ac:dyDescent="0.25">
      <c r="A97" s="43" t="s">
        <v>140</v>
      </c>
      <c r="B97" s="36">
        <f t="shared" ref="B97:B118" si="38">SUM(C97:I97)</f>
        <v>15000</v>
      </c>
      <c r="C97" s="44">
        <v>15000</v>
      </c>
      <c r="D97" s="48"/>
      <c r="E97" s="44"/>
      <c r="F97" s="44"/>
      <c r="G97" s="44"/>
      <c r="H97" s="44"/>
      <c r="I97" s="44"/>
      <c r="J97" s="44"/>
      <c r="K97" s="44"/>
      <c r="L97" s="88"/>
      <c r="M97" s="45"/>
      <c r="N97" s="45"/>
      <c r="O97" s="45"/>
      <c r="P97" s="45"/>
      <c r="Q97" s="89"/>
      <c r="R97" s="89"/>
      <c r="S97" s="45"/>
      <c r="T97" s="45"/>
      <c r="U97" s="45"/>
      <c r="V97" s="45"/>
      <c r="W97" s="46"/>
    </row>
    <row r="98" spans="1:23" x14ac:dyDescent="0.25">
      <c r="A98" s="43" t="s">
        <v>141</v>
      </c>
      <c r="B98" s="36">
        <f t="shared" si="38"/>
        <v>3000</v>
      </c>
      <c r="C98" s="44">
        <v>3000</v>
      </c>
      <c r="D98" s="48"/>
      <c r="E98" s="44"/>
      <c r="F98" s="44"/>
      <c r="G98" s="44"/>
      <c r="H98" s="44"/>
      <c r="I98" s="44"/>
      <c r="J98" s="44"/>
      <c r="K98" s="44"/>
      <c r="L98" s="88"/>
      <c r="M98" s="45"/>
      <c r="N98" s="45"/>
      <c r="O98" s="45"/>
      <c r="P98" s="45"/>
      <c r="Q98" s="89"/>
      <c r="R98" s="89"/>
      <c r="S98" s="45"/>
      <c r="T98" s="45"/>
      <c r="U98" s="45"/>
      <c r="V98" s="45"/>
      <c r="W98" s="46"/>
    </row>
    <row r="99" spans="1:23" x14ac:dyDescent="0.25">
      <c r="A99" s="43" t="s">
        <v>142</v>
      </c>
      <c r="B99" s="263">
        <f t="shared" si="38"/>
        <v>139428</v>
      </c>
      <c r="C99" s="264">
        <v>69714</v>
      </c>
      <c r="D99" s="48">
        <v>34857</v>
      </c>
      <c r="E99" s="44">
        <v>34857</v>
      </c>
      <c r="F99" s="44"/>
      <c r="G99" s="44"/>
      <c r="H99" s="44"/>
      <c r="I99" s="44"/>
      <c r="J99" s="44"/>
      <c r="K99" s="44"/>
      <c r="L99" s="88"/>
      <c r="M99" s="45"/>
      <c r="N99" s="45"/>
      <c r="O99" s="45"/>
      <c r="P99" s="45"/>
      <c r="Q99" s="89"/>
      <c r="R99" s="89"/>
      <c r="S99" s="45"/>
      <c r="T99" s="45"/>
      <c r="U99" s="45"/>
      <c r="V99" s="45"/>
      <c r="W99" s="46"/>
    </row>
    <row r="100" spans="1:23" x14ac:dyDescent="0.25">
      <c r="A100" s="265" t="s">
        <v>143</v>
      </c>
      <c r="B100" s="266">
        <f t="shared" si="38"/>
        <v>1000</v>
      </c>
      <c r="C100" s="267">
        <v>1000</v>
      </c>
      <c r="D100" s="268"/>
      <c r="E100" s="44"/>
      <c r="F100" s="44"/>
      <c r="G100" s="44"/>
      <c r="H100" s="44"/>
      <c r="I100" s="44"/>
      <c r="J100" s="44"/>
      <c r="K100" s="44"/>
      <c r="L100" s="88"/>
      <c r="M100" s="45"/>
      <c r="N100" s="45"/>
      <c r="O100" s="45"/>
      <c r="P100" s="45"/>
      <c r="Q100" s="89"/>
      <c r="R100" s="89"/>
      <c r="S100" s="45"/>
      <c r="T100" s="45"/>
      <c r="U100" s="45"/>
      <c r="V100" s="45"/>
      <c r="W100" s="46"/>
    </row>
    <row r="101" spans="1:23" x14ac:dyDescent="0.25">
      <c r="A101" s="265" t="s">
        <v>144</v>
      </c>
      <c r="B101" s="266">
        <f t="shared" si="38"/>
        <v>3000</v>
      </c>
      <c r="C101" s="267">
        <v>3000</v>
      </c>
      <c r="D101" s="268"/>
      <c r="E101" s="44"/>
      <c r="F101" s="44"/>
      <c r="G101" s="44"/>
      <c r="H101" s="44"/>
      <c r="I101" s="44"/>
      <c r="J101" s="44"/>
      <c r="K101" s="44"/>
      <c r="L101" s="88"/>
      <c r="M101" s="45"/>
      <c r="N101" s="45"/>
      <c r="O101" s="45"/>
      <c r="P101" s="45"/>
      <c r="Q101" s="89"/>
      <c r="R101" s="89"/>
      <c r="S101" s="45"/>
      <c r="T101" s="45"/>
      <c r="U101" s="45"/>
      <c r="V101" s="45"/>
      <c r="W101" s="46"/>
    </row>
    <row r="102" spans="1:23" x14ac:dyDescent="0.25">
      <c r="A102" s="265" t="s">
        <v>145</v>
      </c>
      <c r="B102" s="266">
        <f t="shared" si="38"/>
        <v>51800</v>
      </c>
      <c r="C102" s="269">
        <v>45000</v>
      </c>
      <c r="D102" s="268"/>
      <c r="E102" s="44"/>
      <c r="F102" s="44"/>
      <c r="G102" s="44"/>
      <c r="H102" s="44">
        <v>6800</v>
      </c>
      <c r="I102" s="44"/>
      <c r="J102" s="44"/>
      <c r="K102" s="44"/>
      <c r="L102" s="88"/>
      <c r="M102" s="45"/>
      <c r="N102" s="45"/>
      <c r="O102" s="45"/>
      <c r="P102" s="45"/>
      <c r="Q102" s="89"/>
      <c r="R102" s="89"/>
      <c r="S102" s="45"/>
      <c r="T102" s="45"/>
      <c r="U102" s="45"/>
      <c r="V102" s="45"/>
      <c r="W102" s="46"/>
    </row>
    <row r="103" spans="1:23" x14ac:dyDescent="0.25">
      <c r="A103" s="265" t="s">
        <v>146</v>
      </c>
      <c r="B103" s="266">
        <f t="shared" si="38"/>
        <v>5000</v>
      </c>
      <c r="C103" s="267">
        <v>5000</v>
      </c>
      <c r="D103" s="268"/>
      <c r="E103" s="44"/>
      <c r="F103" s="44"/>
      <c r="G103" s="44"/>
      <c r="H103" s="44"/>
      <c r="I103" s="44"/>
      <c r="J103" s="44"/>
      <c r="K103" s="44"/>
      <c r="L103" s="88"/>
      <c r="M103" s="45"/>
      <c r="N103" s="45"/>
      <c r="O103" s="45"/>
      <c r="P103" s="45"/>
      <c r="Q103" s="89"/>
      <c r="R103" s="89"/>
      <c r="S103" s="45"/>
      <c r="T103" s="45"/>
      <c r="U103" s="45"/>
      <c r="V103" s="45"/>
      <c r="W103" s="46"/>
    </row>
    <row r="104" spans="1:23" x14ac:dyDescent="0.25">
      <c r="A104" s="265" t="s">
        <v>147</v>
      </c>
      <c r="B104" s="266">
        <f t="shared" si="38"/>
        <v>15000</v>
      </c>
      <c r="C104" s="269">
        <v>15000</v>
      </c>
      <c r="D104" s="268"/>
      <c r="E104" s="44"/>
      <c r="F104" s="44"/>
      <c r="G104" s="44"/>
      <c r="H104" s="44"/>
      <c r="I104" s="44"/>
      <c r="J104" s="44"/>
      <c r="K104" s="44"/>
      <c r="L104" s="88"/>
      <c r="M104" s="45"/>
      <c r="N104" s="45"/>
      <c r="O104" s="45"/>
      <c r="P104" s="45"/>
      <c r="Q104" s="88"/>
      <c r="R104" s="88"/>
      <c r="S104" s="45"/>
      <c r="T104" s="45"/>
      <c r="U104" s="45"/>
      <c r="V104" s="45"/>
      <c r="W104" s="46" t="s">
        <v>39</v>
      </c>
    </row>
    <row r="105" spans="1:23" x14ac:dyDescent="0.25">
      <c r="A105" s="265" t="s">
        <v>148</v>
      </c>
      <c r="B105" s="266">
        <f t="shared" si="38"/>
        <v>10000</v>
      </c>
      <c r="C105" s="269">
        <v>10000</v>
      </c>
      <c r="D105" s="268"/>
      <c r="E105" s="44"/>
      <c r="F105" s="44"/>
      <c r="G105" s="44"/>
      <c r="H105" s="44"/>
      <c r="I105" s="44"/>
      <c r="J105" s="44"/>
      <c r="K105" s="44"/>
      <c r="L105" s="44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6"/>
    </row>
    <row r="106" spans="1:23" x14ac:dyDescent="0.25">
      <c r="A106" s="265" t="s">
        <v>149</v>
      </c>
      <c r="B106" s="266">
        <f t="shared" si="38"/>
        <v>54800</v>
      </c>
      <c r="C106" s="269">
        <v>48000</v>
      </c>
      <c r="D106" s="268"/>
      <c r="E106" s="44"/>
      <c r="F106" s="44"/>
      <c r="G106" s="91">
        <f t="shared" ref="G106:V106" si="39">SUM(G90:G105)</f>
        <v>0</v>
      </c>
      <c r="H106" s="91">
        <f t="shared" si="39"/>
        <v>6800</v>
      </c>
      <c r="I106" s="91">
        <f t="shared" si="39"/>
        <v>0</v>
      </c>
      <c r="J106" s="91">
        <f t="shared" si="39"/>
        <v>133803</v>
      </c>
      <c r="K106" s="91">
        <f t="shared" si="39"/>
        <v>10502</v>
      </c>
      <c r="L106" s="91">
        <f t="shared" si="39"/>
        <v>0</v>
      </c>
      <c r="M106" s="91">
        <f t="shared" si="39"/>
        <v>0</v>
      </c>
      <c r="N106" s="91">
        <f t="shared" si="39"/>
        <v>0</v>
      </c>
      <c r="O106" s="91">
        <f t="shared" si="39"/>
        <v>262141</v>
      </c>
      <c r="P106" s="91">
        <f t="shared" si="39"/>
        <v>315000</v>
      </c>
      <c r="Q106" s="91">
        <f t="shared" si="39"/>
        <v>275389.90999999997</v>
      </c>
      <c r="R106" s="91">
        <f t="shared" si="39"/>
        <v>393743.57999999996</v>
      </c>
      <c r="S106" s="91">
        <f t="shared" si="39"/>
        <v>10214.479999999981</v>
      </c>
      <c r="T106" s="91">
        <f t="shared" si="39"/>
        <v>525002.36</v>
      </c>
      <c r="U106" s="91">
        <f t="shared" si="39"/>
        <v>170528.23</v>
      </c>
      <c r="V106" s="91">
        <f t="shared" si="39"/>
        <v>61856</v>
      </c>
      <c r="W106" s="46">
        <f>SUM(C106:V106)</f>
        <v>2212980.5599999996</v>
      </c>
    </row>
    <row r="107" spans="1:23" ht="15.75" thickBot="1" x14ac:dyDescent="0.3">
      <c r="A107" s="270" t="s">
        <v>150</v>
      </c>
      <c r="B107" s="266">
        <f t="shared" si="38"/>
        <v>34394.160000000003</v>
      </c>
      <c r="C107" s="269">
        <v>13000</v>
      </c>
      <c r="D107" s="268"/>
      <c r="E107" s="44"/>
      <c r="F107" s="44"/>
      <c r="G107" s="93">
        <f t="shared" ref="G107:V107" si="40">+G87-G106</f>
        <v>1200</v>
      </c>
      <c r="H107" s="93">
        <f t="shared" si="40"/>
        <v>20194.16</v>
      </c>
      <c r="I107" s="93">
        <f t="shared" si="40"/>
        <v>0</v>
      </c>
      <c r="J107" s="93">
        <f t="shared" si="40"/>
        <v>-7.9999999987194315E-2</v>
      </c>
      <c r="K107" s="93">
        <f t="shared" si="40"/>
        <v>-0.3500000000003638</v>
      </c>
      <c r="L107" s="93">
        <f t="shared" si="40"/>
        <v>-3.0000000027939677E-2</v>
      </c>
      <c r="M107" s="93">
        <f t="shared" si="40"/>
        <v>0</v>
      </c>
      <c r="N107" s="93">
        <f t="shared" si="40"/>
        <v>32181.260000000002</v>
      </c>
      <c r="O107" s="93">
        <f t="shared" si="40"/>
        <v>-25326</v>
      </c>
      <c r="P107" s="93">
        <f t="shared" si="40"/>
        <v>0</v>
      </c>
      <c r="Q107" s="93">
        <f t="shared" si="40"/>
        <v>0</v>
      </c>
      <c r="R107" s="93">
        <f t="shared" si="40"/>
        <v>0</v>
      </c>
      <c r="S107" s="93">
        <f t="shared" si="40"/>
        <v>0</v>
      </c>
      <c r="T107" s="93">
        <f t="shared" si="40"/>
        <v>0</v>
      </c>
      <c r="U107" s="93">
        <f t="shared" si="40"/>
        <v>0</v>
      </c>
      <c r="V107" s="93">
        <f t="shared" si="40"/>
        <v>0</v>
      </c>
      <c r="W107" s="94">
        <f>SUM(C107:V107)</f>
        <v>41248.959999999992</v>
      </c>
    </row>
    <row r="108" spans="1:23" ht="15.75" thickTop="1" x14ac:dyDescent="0.25">
      <c r="A108" s="43" t="s">
        <v>151</v>
      </c>
      <c r="B108" s="266">
        <f t="shared" si="38"/>
        <v>0</v>
      </c>
      <c r="C108" s="44"/>
      <c r="D108" s="268"/>
      <c r="E108" s="44"/>
      <c r="F108" s="44"/>
    </row>
    <row r="109" spans="1:23" x14ac:dyDescent="0.25">
      <c r="A109" s="270" t="s">
        <v>219</v>
      </c>
      <c r="B109" s="266">
        <f t="shared" si="38"/>
        <v>13000</v>
      </c>
      <c r="C109" s="267">
        <v>13000</v>
      </c>
      <c r="D109" s="268"/>
      <c r="E109" s="44"/>
      <c r="F109" s="44"/>
    </row>
    <row r="110" spans="1:23" x14ac:dyDescent="0.25">
      <c r="A110" s="270" t="s">
        <v>220</v>
      </c>
      <c r="B110" s="266">
        <f t="shared" si="38"/>
        <v>15000</v>
      </c>
      <c r="C110" s="267">
        <v>15000</v>
      </c>
      <c r="D110" s="268"/>
      <c r="E110" s="44"/>
      <c r="F110" s="44"/>
    </row>
    <row r="111" spans="1:23" x14ac:dyDescent="0.25">
      <c r="A111" s="270" t="s">
        <v>221</v>
      </c>
      <c r="B111" s="266">
        <f t="shared" si="38"/>
        <v>75000</v>
      </c>
      <c r="C111" s="267">
        <v>75000</v>
      </c>
      <c r="D111" s="268"/>
      <c r="E111" s="44"/>
      <c r="F111" s="44"/>
    </row>
    <row r="112" spans="1:23" x14ac:dyDescent="0.25">
      <c r="A112" s="270" t="s">
        <v>222</v>
      </c>
      <c r="B112" s="266">
        <f t="shared" si="38"/>
        <v>15000</v>
      </c>
      <c r="C112" s="267">
        <v>15000</v>
      </c>
      <c r="D112" s="268"/>
      <c r="E112" s="44"/>
      <c r="F112" s="44"/>
    </row>
    <row r="113" spans="1:6" x14ac:dyDescent="0.25">
      <c r="A113" s="270" t="s">
        <v>223</v>
      </c>
      <c r="B113" s="266">
        <f>SUM(D113:I113)</f>
        <v>11000</v>
      </c>
      <c r="C113" s="88"/>
      <c r="D113" s="48"/>
      <c r="E113" s="271">
        <v>11000</v>
      </c>
      <c r="F113" s="44"/>
    </row>
    <row r="114" spans="1:6" x14ac:dyDescent="0.25">
      <c r="A114" s="270" t="s">
        <v>224</v>
      </c>
      <c r="B114" s="266">
        <f t="shared" si="38"/>
        <v>13500</v>
      </c>
      <c r="C114" s="272">
        <v>13500</v>
      </c>
      <c r="D114" s="268"/>
      <c r="E114" s="44"/>
      <c r="F114" s="44"/>
    </row>
    <row r="115" spans="1:6" x14ac:dyDescent="0.25">
      <c r="A115" s="270" t="s">
        <v>225</v>
      </c>
      <c r="B115" s="273">
        <f t="shared" si="38"/>
        <v>3200</v>
      </c>
      <c r="C115" s="272">
        <v>3200</v>
      </c>
      <c r="D115" s="48"/>
      <c r="E115" s="44"/>
      <c r="F115" s="44"/>
    </row>
    <row r="116" spans="1:6" x14ac:dyDescent="0.25">
      <c r="A116" s="270" t="s">
        <v>226</v>
      </c>
      <c r="B116" s="273">
        <f>SUM(D116:I116)</f>
        <v>697</v>
      </c>
      <c r="C116" s="88"/>
      <c r="D116" s="272">
        <v>697</v>
      </c>
      <c r="E116" s="44"/>
      <c r="F116" s="44"/>
    </row>
    <row r="117" spans="1:6" x14ac:dyDescent="0.25">
      <c r="A117" s="43" t="s">
        <v>152</v>
      </c>
      <c r="B117" s="273">
        <f>SUM(C117:P117)</f>
        <v>0</v>
      </c>
      <c r="C117" s="44"/>
      <c r="D117" s="48"/>
      <c r="E117" s="44"/>
      <c r="F117" s="44"/>
    </row>
    <row r="118" spans="1:6" x14ac:dyDescent="0.25">
      <c r="A118" s="43" t="s">
        <v>112</v>
      </c>
      <c r="B118" s="36">
        <f t="shared" si="38"/>
        <v>0</v>
      </c>
      <c r="C118" s="44"/>
      <c r="D118" s="48"/>
      <c r="E118" s="44"/>
      <c r="F118" s="44"/>
    </row>
    <row r="119" spans="1:6" x14ac:dyDescent="0.25">
      <c r="A119" s="90" t="s">
        <v>153</v>
      </c>
      <c r="B119" s="91">
        <f>SUM(B94:B118)</f>
        <v>817137.59840000002</v>
      </c>
      <c r="C119" s="91">
        <f>SUM(C95:C118)</f>
        <v>394162.73</v>
      </c>
      <c r="D119" s="91">
        <f>SUM(D95:D118)</f>
        <v>81534</v>
      </c>
      <c r="E119" s="91">
        <f>SUM(E95:E118)</f>
        <v>45857</v>
      </c>
      <c r="F119" s="91">
        <f>SUM(F94:F118)</f>
        <v>260589.7084</v>
      </c>
    </row>
    <row r="120" spans="1:6" ht="15.75" thickBot="1" x14ac:dyDescent="0.3">
      <c r="A120" s="92" t="s">
        <v>154</v>
      </c>
      <c r="B120" s="93" t="e">
        <f t="shared" ref="B120:F120" si="41">+B92-B119</f>
        <v>#DIV/0!</v>
      </c>
      <c r="C120" s="93">
        <f t="shared" si="41"/>
        <v>89330.218409000081</v>
      </c>
      <c r="D120" s="93">
        <f t="shared" si="41"/>
        <v>-3067.6221759999898</v>
      </c>
      <c r="E120" s="93">
        <f t="shared" si="41"/>
        <v>32732.324304999856</v>
      </c>
      <c r="F120" s="93">
        <f t="shared" si="41"/>
        <v>0</v>
      </c>
    </row>
    <row r="121" spans="1:6" ht="15.75" thickTop="1" x14ac:dyDescent="0.25"/>
    <row r="125" spans="1:6" x14ac:dyDescent="0.25">
      <c r="A125" t="s">
        <v>227</v>
      </c>
      <c r="B125" t="e">
        <f>B120/(SUM(C3:F3))</f>
        <v>#DIV/0!</v>
      </c>
    </row>
    <row r="129" spans="2:2" x14ac:dyDescent="0.25">
      <c r="B129">
        <f>(127000+35000)/SUM(C3:E3)</f>
        <v>6.9441042643024156E-2</v>
      </c>
    </row>
  </sheetData>
  <pageMargins left="0.7" right="0.7" top="0.75" bottom="0.75" header="0.3" footer="0.3"/>
  <pageSetup scale="46" fitToHeight="0" orientation="landscape" r:id="rId1"/>
  <headerFooter>
    <oddFooter>&amp;L&amp;F&amp;CPage &amp;P of &amp;N&amp;R&amp;D</oddFooter>
  </headerFooter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L27" sqref="L27:L31"/>
    </sheetView>
  </sheetViews>
  <sheetFormatPr defaultColWidth="9.140625" defaultRowHeight="15" x14ac:dyDescent="0.25"/>
  <cols>
    <col min="1" max="1" width="47.7109375" style="4" customWidth="1"/>
    <col min="2" max="4" width="13" style="4" hidden="1" customWidth="1"/>
    <col min="5" max="6" width="10.42578125" style="245" hidden="1" customWidth="1"/>
    <col min="7" max="7" width="10.7109375" style="245" hidden="1" customWidth="1"/>
    <col min="8" max="9" width="10.42578125" style="245" hidden="1" customWidth="1"/>
    <col min="10" max="10" width="10.7109375" style="245" hidden="1" customWidth="1"/>
    <col min="11" max="11" width="12" style="245" customWidth="1"/>
    <col min="12" max="13" width="10.140625" style="245" bestFit="1" customWidth="1"/>
    <col min="14" max="14" width="8.85546875" style="245" hidden="1" customWidth="1"/>
    <col min="15" max="15" width="7.85546875" style="245" hidden="1" customWidth="1"/>
    <col min="16" max="16" width="9.42578125" style="245" hidden="1" customWidth="1"/>
    <col min="17" max="16384" width="9.140625" style="4"/>
  </cols>
  <sheetData>
    <row r="1" spans="1:16" x14ac:dyDescent="0.25">
      <c r="A1" s="95" t="s">
        <v>40</v>
      </c>
      <c r="B1" s="96"/>
      <c r="C1" s="96"/>
      <c r="D1" s="96"/>
      <c r="E1" s="281">
        <v>1231</v>
      </c>
      <c r="F1" s="282"/>
      <c r="G1" s="283"/>
      <c r="H1" s="284">
        <v>1232</v>
      </c>
      <c r="I1" s="285"/>
      <c r="J1" s="286"/>
      <c r="K1" s="287">
        <v>1234</v>
      </c>
      <c r="L1" s="288"/>
      <c r="M1" s="289"/>
      <c r="N1" s="97">
        <v>1234</v>
      </c>
      <c r="O1" s="98" t="s">
        <v>42</v>
      </c>
      <c r="P1" s="99">
        <v>4581</v>
      </c>
    </row>
    <row r="2" spans="1:16" ht="39.75" thickBot="1" x14ac:dyDescent="0.3">
      <c r="A2" s="100" t="s">
        <v>0</v>
      </c>
      <c r="B2" s="101" t="s">
        <v>155</v>
      </c>
      <c r="C2" s="101" t="s">
        <v>156</v>
      </c>
      <c r="D2" s="101" t="s">
        <v>157</v>
      </c>
      <c r="E2" s="102" t="s">
        <v>158</v>
      </c>
      <c r="F2" s="103" t="s">
        <v>159</v>
      </c>
      <c r="G2" s="104" t="s">
        <v>160</v>
      </c>
      <c r="H2" s="105" t="s">
        <v>161</v>
      </c>
      <c r="I2" s="103" t="s">
        <v>159</v>
      </c>
      <c r="J2" s="104" t="s">
        <v>160</v>
      </c>
      <c r="K2" s="102" t="s">
        <v>162</v>
      </c>
      <c r="L2" s="106" t="s">
        <v>163</v>
      </c>
      <c r="M2" s="107" t="s">
        <v>164</v>
      </c>
      <c r="N2" s="102" t="s">
        <v>49</v>
      </c>
      <c r="O2" s="103" t="s">
        <v>51</v>
      </c>
      <c r="P2" s="107" t="s">
        <v>165</v>
      </c>
    </row>
    <row r="3" spans="1:16" ht="15.75" thickBot="1" x14ac:dyDescent="0.3">
      <c r="A3" s="108" t="s">
        <v>67</v>
      </c>
      <c r="B3" s="109">
        <f>SUM(E3+H3+K3+$N3+$O3+$P3)</f>
        <v>2729348.2800000003</v>
      </c>
      <c r="C3" s="109">
        <f t="shared" ref="C3:D3" si="0">SUM(F3+I3+L3+$N3+$O3+$P3)</f>
        <v>2729348.2800000003</v>
      </c>
      <c r="D3" s="109">
        <f t="shared" si="0"/>
        <v>2729348.2800000003</v>
      </c>
      <c r="E3" s="110">
        <f>'[2]FY16 Projections detail'!$C$3</f>
        <v>1130161.04</v>
      </c>
      <c r="F3" s="111">
        <f>$E3*(1+F$92)</f>
        <v>1130161.04</v>
      </c>
      <c r="G3" s="111">
        <f>$E3*(1+G$92)</f>
        <v>1130161.04</v>
      </c>
      <c r="H3" s="112">
        <f>'[2]FY16 Projections detail'!$D$3</f>
        <v>385994.23999999999</v>
      </c>
      <c r="I3" s="110">
        <f>$H3*(1+I$92)</f>
        <v>385994.23999999999</v>
      </c>
      <c r="J3" s="111">
        <f>$H3*(1+J$92)</f>
        <v>385994.23999999999</v>
      </c>
      <c r="K3" s="112">
        <v>816759</v>
      </c>
      <c r="L3" s="110">
        <f>($K3)*(1+L$92)</f>
        <v>816759</v>
      </c>
      <c r="M3" s="111">
        <f>($K3)*(1+M$92)</f>
        <v>816759</v>
      </c>
      <c r="N3" s="112">
        <f>'[2]FY16 Projections detail'!$F$3</f>
        <v>276434</v>
      </c>
      <c r="O3" s="110">
        <v>45000</v>
      </c>
      <c r="P3" s="111">
        <v>75000</v>
      </c>
    </row>
    <row r="4" spans="1:16" x14ac:dyDescent="0.25">
      <c r="A4" s="113" t="s">
        <v>4</v>
      </c>
      <c r="B4" s="114"/>
      <c r="C4" s="114"/>
      <c r="D4" s="114"/>
      <c r="E4" s="115"/>
      <c r="F4" s="116"/>
      <c r="G4" s="117"/>
      <c r="H4" s="118"/>
      <c r="I4" s="119"/>
      <c r="J4" s="120"/>
      <c r="K4" s="118"/>
      <c r="L4" s="119"/>
      <c r="M4" s="120"/>
      <c r="N4" s="118"/>
      <c r="O4" s="119"/>
      <c r="P4" s="120"/>
    </row>
    <row r="5" spans="1:16" x14ac:dyDescent="0.25">
      <c r="A5" s="121" t="s">
        <v>166</v>
      </c>
      <c r="B5" s="122">
        <f t="shared" ref="B5:D6" si="1">SUM(E5+H5+K5+$N5+$O5+$P5)</f>
        <v>259446</v>
      </c>
      <c r="C5" s="122">
        <f t="shared" si="1"/>
        <v>267310</v>
      </c>
      <c r="D5" s="122">
        <f t="shared" si="1"/>
        <v>275864.16000000003</v>
      </c>
      <c r="E5" s="123">
        <v>154200</v>
      </c>
      <c r="F5" s="124">
        <f>$E5*(1+F$94)</f>
        <v>160368</v>
      </c>
      <c r="G5" s="125">
        <f t="shared" ref="G5:G15" si="2">$F5*(1+G$94)</f>
        <v>166782.72</v>
      </c>
      <c r="H5" s="123">
        <f>E5/3</f>
        <v>51400</v>
      </c>
      <c r="I5" s="124">
        <f>$H5*(1+I$94)</f>
        <v>53456</v>
      </c>
      <c r="J5" s="125">
        <f>$H5*(1+J$94)</f>
        <v>53456</v>
      </c>
      <c r="K5" s="123">
        <v>53846</v>
      </c>
      <c r="L5" s="126">
        <v>53486</v>
      </c>
      <c r="M5" s="127">
        <f>($L5)*(1+M$94)</f>
        <v>55625.440000000002</v>
      </c>
      <c r="N5" s="123"/>
      <c r="O5" s="124"/>
      <c r="P5" s="128"/>
    </row>
    <row r="6" spans="1:16" x14ac:dyDescent="0.25">
      <c r="A6" s="121" t="s">
        <v>167</v>
      </c>
      <c r="B6" s="122">
        <f t="shared" si="1"/>
        <v>72468</v>
      </c>
      <c r="C6" s="122">
        <f t="shared" si="1"/>
        <v>75366.720000000001</v>
      </c>
      <c r="D6" s="122">
        <f t="shared" si="1"/>
        <v>78381.388800000015</v>
      </c>
      <c r="E6" s="123">
        <v>24156</v>
      </c>
      <c r="F6" s="124">
        <f>$E6*(1+F$94)</f>
        <v>25122.240000000002</v>
      </c>
      <c r="G6" s="125">
        <f t="shared" si="2"/>
        <v>26127.129600000004</v>
      </c>
      <c r="H6" s="123">
        <v>24156</v>
      </c>
      <c r="I6" s="124">
        <f>$H6*(1+I$94)</f>
        <v>25122.240000000002</v>
      </c>
      <c r="J6" s="125">
        <f>$I6*(1+J$94)</f>
        <v>26127.129600000004</v>
      </c>
      <c r="K6" s="123">
        <v>24156</v>
      </c>
      <c r="L6" s="126">
        <f>($K6)*(1+L$94)</f>
        <v>25122.240000000002</v>
      </c>
      <c r="M6" s="127">
        <f>$I6*(1+M$94)</f>
        <v>26127.129600000004</v>
      </c>
      <c r="N6" s="123"/>
      <c r="O6" s="124"/>
      <c r="P6" s="128"/>
    </row>
    <row r="7" spans="1:16" ht="15.75" customHeight="1" x14ac:dyDescent="0.25">
      <c r="A7" s="129" t="s">
        <v>168</v>
      </c>
      <c r="B7" s="122">
        <f t="shared" ref="B7:D7" si="3">SUM(B5:B6)</f>
        <v>331914</v>
      </c>
      <c r="C7" s="122">
        <f t="shared" si="3"/>
        <v>342676.72</v>
      </c>
      <c r="D7" s="122">
        <f t="shared" si="3"/>
        <v>354245.54880000005</v>
      </c>
      <c r="E7" s="123">
        <f>SUM(E5:E6)</f>
        <v>178356</v>
      </c>
      <c r="F7" s="124">
        <f t="shared" ref="F7" si="4">SUM(F5:F6)</f>
        <v>185490.24</v>
      </c>
      <c r="G7" s="125">
        <f t="shared" si="2"/>
        <v>192909.84959999999</v>
      </c>
      <c r="H7" s="123">
        <f>SUM(H5:H6)</f>
        <v>75556</v>
      </c>
      <c r="I7" s="124">
        <f t="shared" ref="I7:J7" si="5">SUM(I5:I6)</f>
        <v>78578.240000000005</v>
      </c>
      <c r="J7" s="125">
        <f t="shared" si="5"/>
        <v>79583.1296</v>
      </c>
      <c r="K7" s="123">
        <f>SUM(K5:K6)</f>
        <v>78002</v>
      </c>
      <c r="L7" s="126">
        <f t="shared" ref="L7:M7" si="6">SUM(L5:L6)</f>
        <v>78608.240000000005</v>
      </c>
      <c r="M7" s="127">
        <f t="shared" si="6"/>
        <v>81752.569600000003</v>
      </c>
      <c r="N7" s="123">
        <f>SUM(N5:N6)</f>
        <v>0</v>
      </c>
      <c r="O7" s="130">
        <f t="shared" ref="O7:P7" si="7">SUM(O5:O6)</f>
        <v>0</v>
      </c>
      <c r="P7" s="131">
        <f t="shared" si="7"/>
        <v>0</v>
      </c>
    </row>
    <row r="8" spans="1:16" x14ac:dyDescent="0.25">
      <c r="A8" s="121" t="s">
        <v>76</v>
      </c>
      <c r="B8" s="122">
        <f>SUM(E8+H8+K8+$N8+$O8+$P8)</f>
        <v>162947</v>
      </c>
      <c r="C8" s="122">
        <f t="shared" ref="C8:D18" si="8">SUM(F8+I8+L8+$N8+$O8+$P8)</f>
        <v>169464.88</v>
      </c>
      <c r="D8" s="122">
        <f t="shared" si="8"/>
        <v>176243.47520000002</v>
      </c>
      <c r="E8" s="123">
        <v>162947</v>
      </c>
      <c r="F8" s="124">
        <f t="shared" ref="F8:F18" si="9">$E8*(1+F$94)</f>
        <v>169464.88</v>
      </c>
      <c r="G8" s="125">
        <f t="shared" si="2"/>
        <v>176243.47520000002</v>
      </c>
      <c r="H8" s="123">
        <v>0</v>
      </c>
      <c r="I8" s="124">
        <f t="shared" ref="I8:J18" si="10">$H8*(1+I$94)</f>
        <v>0</v>
      </c>
      <c r="J8" s="125">
        <f t="shared" si="10"/>
        <v>0</v>
      </c>
      <c r="K8" s="123">
        <v>0</v>
      </c>
      <c r="L8" s="126">
        <f t="shared" ref="L8:M18" si="11">($K8)*(1+L$94)</f>
        <v>0</v>
      </c>
      <c r="M8" s="127">
        <f t="shared" si="11"/>
        <v>0</v>
      </c>
      <c r="N8" s="123"/>
      <c r="O8" s="124"/>
      <c r="P8" s="125"/>
    </row>
    <row r="9" spans="1:16" x14ac:dyDescent="0.25">
      <c r="A9" s="121" t="s">
        <v>77</v>
      </c>
      <c r="B9" s="122">
        <f t="shared" ref="B9:B17" si="12">SUM(E9+H9+K9+$N9+$O9+$P9)</f>
        <v>154791</v>
      </c>
      <c r="C9" s="122">
        <f t="shared" si="8"/>
        <v>160982.64000000001</v>
      </c>
      <c r="D9" s="122">
        <f t="shared" si="8"/>
        <v>167421.94560000001</v>
      </c>
      <c r="E9" s="123">
        <v>154791</v>
      </c>
      <c r="F9" s="124">
        <f t="shared" si="9"/>
        <v>160982.64000000001</v>
      </c>
      <c r="G9" s="125">
        <f t="shared" si="2"/>
        <v>167421.94560000001</v>
      </c>
      <c r="H9" s="123">
        <v>0</v>
      </c>
      <c r="I9" s="124">
        <f t="shared" si="10"/>
        <v>0</v>
      </c>
      <c r="J9" s="125">
        <f t="shared" si="10"/>
        <v>0</v>
      </c>
      <c r="K9" s="123">
        <v>0</v>
      </c>
      <c r="L9" s="126">
        <f t="shared" si="11"/>
        <v>0</v>
      </c>
      <c r="M9" s="127">
        <f t="shared" si="11"/>
        <v>0</v>
      </c>
      <c r="N9" s="123"/>
      <c r="O9" s="124"/>
      <c r="P9" s="125"/>
    </row>
    <row r="10" spans="1:16" x14ac:dyDescent="0.25">
      <c r="A10" s="121" t="s">
        <v>169</v>
      </c>
      <c r="B10" s="122">
        <f t="shared" si="12"/>
        <v>155095</v>
      </c>
      <c r="C10" s="122">
        <f t="shared" si="8"/>
        <v>161298.80000000002</v>
      </c>
      <c r="D10" s="122">
        <f t="shared" si="8"/>
        <v>167750.75200000004</v>
      </c>
      <c r="E10" s="123">
        <v>155095</v>
      </c>
      <c r="F10" s="124">
        <f t="shared" si="9"/>
        <v>161298.80000000002</v>
      </c>
      <c r="G10" s="125">
        <f t="shared" si="2"/>
        <v>167750.75200000004</v>
      </c>
      <c r="H10" s="123">
        <v>0</v>
      </c>
      <c r="I10" s="124">
        <f t="shared" si="10"/>
        <v>0</v>
      </c>
      <c r="J10" s="125">
        <f t="shared" si="10"/>
        <v>0</v>
      </c>
      <c r="K10" s="123">
        <v>0</v>
      </c>
      <c r="L10" s="126">
        <f t="shared" si="11"/>
        <v>0</v>
      </c>
      <c r="M10" s="127">
        <f t="shared" si="11"/>
        <v>0</v>
      </c>
      <c r="N10" s="123"/>
      <c r="O10" s="124"/>
      <c r="P10" s="125"/>
    </row>
    <row r="11" spans="1:16" x14ac:dyDescent="0.25">
      <c r="A11" s="121" t="s">
        <v>96</v>
      </c>
      <c r="B11" s="122">
        <f t="shared" si="12"/>
        <v>50831</v>
      </c>
      <c r="C11" s="122">
        <f t="shared" si="8"/>
        <v>52864.240000000005</v>
      </c>
      <c r="D11" s="122">
        <f t="shared" si="8"/>
        <v>54978.809600000008</v>
      </c>
      <c r="E11" s="123">
        <v>50831</v>
      </c>
      <c r="F11" s="124">
        <f t="shared" si="9"/>
        <v>52864.240000000005</v>
      </c>
      <c r="G11" s="125">
        <f t="shared" si="2"/>
        <v>54978.809600000008</v>
      </c>
      <c r="H11" s="123">
        <v>0</v>
      </c>
      <c r="I11" s="124">
        <f t="shared" si="10"/>
        <v>0</v>
      </c>
      <c r="J11" s="125">
        <f t="shared" si="10"/>
        <v>0</v>
      </c>
      <c r="K11" s="123">
        <v>0</v>
      </c>
      <c r="L11" s="126">
        <f t="shared" si="11"/>
        <v>0</v>
      </c>
      <c r="M11" s="127">
        <f t="shared" si="11"/>
        <v>0</v>
      </c>
      <c r="N11" s="123"/>
      <c r="O11" s="124"/>
      <c r="P11" s="125"/>
    </row>
    <row r="12" spans="1:16" x14ac:dyDescent="0.25">
      <c r="A12" s="121" t="s">
        <v>80</v>
      </c>
      <c r="B12" s="122">
        <f t="shared" si="12"/>
        <v>3900</v>
      </c>
      <c r="C12" s="122">
        <f t="shared" si="8"/>
        <v>4056</v>
      </c>
      <c r="D12" s="122">
        <f t="shared" si="8"/>
        <v>4218.24</v>
      </c>
      <c r="E12" s="123">
        <v>3900</v>
      </c>
      <c r="F12" s="124">
        <f t="shared" si="9"/>
        <v>4056</v>
      </c>
      <c r="G12" s="125">
        <f t="shared" si="2"/>
        <v>4218.24</v>
      </c>
      <c r="H12" s="123">
        <v>0</v>
      </c>
      <c r="I12" s="124">
        <f t="shared" si="10"/>
        <v>0</v>
      </c>
      <c r="J12" s="125">
        <f t="shared" si="10"/>
        <v>0</v>
      </c>
      <c r="K12" s="123">
        <v>0</v>
      </c>
      <c r="L12" s="126">
        <f t="shared" si="11"/>
        <v>0</v>
      </c>
      <c r="M12" s="127">
        <f t="shared" si="11"/>
        <v>0</v>
      </c>
      <c r="N12" s="123"/>
      <c r="O12" s="124"/>
      <c r="P12" s="125"/>
    </row>
    <row r="13" spans="1:16" x14ac:dyDescent="0.25">
      <c r="A13" s="121" t="s">
        <v>81</v>
      </c>
      <c r="B13" s="122">
        <f t="shared" si="12"/>
        <v>28000</v>
      </c>
      <c r="C13" s="122">
        <f t="shared" si="8"/>
        <v>0</v>
      </c>
      <c r="D13" s="122">
        <f t="shared" si="8"/>
        <v>0</v>
      </c>
      <c r="E13" s="123">
        <v>28000</v>
      </c>
      <c r="F13" s="124">
        <v>0</v>
      </c>
      <c r="G13" s="125">
        <f t="shared" si="2"/>
        <v>0</v>
      </c>
      <c r="H13" s="123">
        <v>0</v>
      </c>
      <c r="I13" s="124">
        <f t="shared" si="10"/>
        <v>0</v>
      </c>
      <c r="J13" s="125">
        <f t="shared" si="10"/>
        <v>0</v>
      </c>
      <c r="K13" s="123">
        <v>0</v>
      </c>
      <c r="L13" s="126">
        <f t="shared" si="11"/>
        <v>0</v>
      </c>
      <c r="M13" s="127">
        <f t="shared" si="11"/>
        <v>0</v>
      </c>
      <c r="N13" s="123"/>
      <c r="O13" s="124"/>
      <c r="P13" s="125"/>
    </row>
    <row r="14" spans="1:16" x14ac:dyDescent="0.25">
      <c r="A14" s="121" t="s">
        <v>82</v>
      </c>
      <c r="B14" s="122">
        <f t="shared" si="12"/>
        <v>115608</v>
      </c>
      <c r="C14" s="122">
        <f t="shared" si="8"/>
        <v>120232.32000000001</v>
      </c>
      <c r="D14" s="122">
        <f t="shared" si="8"/>
        <v>125041.61280000002</v>
      </c>
      <c r="E14" s="123">
        <v>115608</v>
      </c>
      <c r="F14" s="124">
        <f t="shared" si="9"/>
        <v>120232.32000000001</v>
      </c>
      <c r="G14" s="125">
        <f t="shared" si="2"/>
        <v>125041.61280000002</v>
      </c>
      <c r="H14" s="123">
        <v>0</v>
      </c>
      <c r="I14" s="124">
        <f t="shared" si="10"/>
        <v>0</v>
      </c>
      <c r="J14" s="125">
        <f t="shared" si="10"/>
        <v>0</v>
      </c>
      <c r="K14" s="123">
        <v>0</v>
      </c>
      <c r="L14" s="126">
        <f t="shared" si="11"/>
        <v>0</v>
      </c>
      <c r="M14" s="127">
        <f t="shared" si="11"/>
        <v>0</v>
      </c>
      <c r="N14" s="123"/>
      <c r="O14" s="124"/>
      <c r="P14" s="125"/>
    </row>
    <row r="15" spans="1:16" x14ac:dyDescent="0.25">
      <c r="A15" s="121" t="s">
        <v>170</v>
      </c>
      <c r="B15" s="122">
        <f t="shared" si="12"/>
        <v>11470</v>
      </c>
      <c r="C15" s="122">
        <f t="shared" si="8"/>
        <v>72958</v>
      </c>
      <c r="D15" s="122">
        <f t="shared" si="8"/>
        <v>75876.320000000007</v>
      </c>
      <c r="E15" s="123">
        <v>11470</v>
      </c>
      <c r="F15" s="124">
        <v>72958</v>
      </c>
      <c r="G15" s="125">
        <f t="shared" si="2"/>
        <v>75876.320000000007</v>
      </c>
      <c r="H15" s="123">
        <v>0</v>
      </c>
      <c r="I15" s="124">
        <f t="shared" si="10"/>
        <v>0</v>
      </c>
      <c r="J15" s="125">
        <f t="shared" si="10"/>
        <v>0</v>
      </c>
      <c r="K15" s="123">
        <v>0</v>
      </c>
      <c r="L15" s="126">
        <f t="shared" si="11"/>
        <v>0</v>
      </c>
      <c r="M15" s="127">
        <f t="shared" si="11"/>
        <v>0</v>
      </c>
      <c r="N15" s="123"/>
      <c r="O15" s="124"/>
      <c r="P15" s="125"/>
    </row>
    <row r="16" spans="1:16" x14ac:dyDescent="0.25">
      <c r="A16" s="121" t="s">
        <v>171</v>
      </c>
      <c r="B16" s="132">
        <f t="shared" si="12"/>
        <v>0</v>
      </c>
      <c r="C16" s="132">
        <f t="shared" si="8"/>
        <v>0</v>
      </c>
      <c r="D16" s="132">
        <f t="shared" si="8"/>
        <v>0</v>
      </c>
      <c r="E16" s="123">
        <v>0</v>
      </c>
      <c r="F16" s="124">
        <f t="shared" si="9"/>
        <v>0</v>
      </c>
      <c r="G16" s="125">
        <f>$E16*(1+G$94)</f>
        <v>0</v>
      </c>
      <c r="H16" s="123">
        <v>0</v>
      </c>
      <c r="I16" s="124">
        <f t="shared" si="10"/>
        <v>0</v>
      </c>
      <c r="J16" s="125">
        <f t="shared" si="10"/>
        <v>0</v>
      </c>
      <c r="K16" s="123">
        <v>0</v>
      </c>
      <c r="L16" s="126">
        <f t="shared" si="11"/>
        <v>0</v>
      </c>
      <c r="M16" s="127">
        <f t="shared" si="11"/>
        <v>0</v>
      </c>
      <c r="N16" s="123"/>
      <c r="O16" s="124"/>
      <c r="P16" s="125"/>
    </row>
    <row r="17" spans="1:16" x14ac:dyDescent="0.25">
      <c r="A17" s="121" t="s">
        <v>172</v>
      </c>
      <c r="B17" s="132">
        <f t="shared" si="12"/>
        <v>0</v>
      </c>
      <c r="C17" s="132">
        <f t="shared" si="8"/>
        <v>0</v>
      </c>
      <c r="D17" s="132">
        <f t="shared" si="8"/>
        <v>0</v>
      </c>
      <c r="E17" s="123">
        <v>0</v>
      </c>
      <c r="F17" s="124">
        <f t="shared" si="9"/>
        <v>0</v>
      </c>
      <c r="G17" s="125">
        <f>$E17*(1+G$94)</f>
        <v>0</v>
      </c>
      <c r="H17" s="123">
        <v>0</v>
      </c>
      <c r="I17" s="124">
        <f t="shared" si="10"/>
        <v>0</v>
      </c>
      <c r="J17" s="125">
        <f t="shared" si="10"/>
        <v>0</v>
      </c>
      <c r="K17" s="123">
        <v>0</v>
      </c>
      <c r="L17" s="126">
        <f t="shared" si="11"/>
        <v>0</v>
      </c>
      <c r="M17" s="127">
        <f t="shared" si="11"/>
        <v>0</v>
      </c>
      <c r="N17" s="123"/>
      <c r="O17" s="124"/>
      <c r="P17" s="125"/>
    </row>
    <row r="18" spans="1:16" x14ac:dyDescent="0.25">
      <c r="A18" s="121" t="s">
        <v>173</v>
      </c>
      <c r="B18" s="132">
        <f>SUM(E18+H18+K18+$N18+$O18+$P18)</f>
        <v>0</v>
      </c>
      <c r="C18" s="132">
        <f t="shared" si="8"/>
        <v>0</v>
      </c>
      <c r="D18" s="132">
        <f>SUM(G18+J18+M18+$N18+$O18+$P18)</f>
        <v>0</v>
      </c>
      <c r="E18" s="123">
        <v>0</v>
      </c>
      <c r="F18" s="124">
        <f t="shared" si="9"/>
        <v>0</v>
      </c>
      <c r="G18" s="125">
        <f>$E18*(1+G$94)</f>
        <v>0</v>
      </c>
      <c r="H18" s="123">
        <v>0</v>
      </c>
      <c r="I18" s="124">
        <f t="shared" si="10"/>
        <v>0</v>
      </c>
      <c r="J18" s="125">
        <f t="shared" si="10"/>
        <v>0</v>
      </c>
      <c r="K18" s="123">
        <v>0</v>
      </c>
      <c r="L18" s="126">
        <f t="shared" si="11"/>
        <v>0</v>
      </c>
      <c r="M18" s="127">
        <f t="shared" si="11"/>
        <v>0</v>
      </c>
      <c r="N18" s="123">
        <v>0</v>
      </c>
      <c r="O18" s="124">
        <v>0</v>
      </c>
      <c r="P18" s="125">
        <v>0</v>
      </c>
    </row>
    <row r="19" spans="1:16" x14ac:dyDescent="0.25">
      <c r="A19" s="129" t="s">
        <v>174</v>
      </c>
      <c r="B19" s="122">
        <f>SUM(B8:B18)</f>
        <v>682642</v>
      </c>
      <c r="C19" s="122">
        <f>SUM(C8:C18)</f>
        <v>741856.88000000012</v>
      </c>
      <c r="D19" s="122">
        <f t="shared" ref="D19:K19" si="13">SUM(D8:D18)</f>
        <v>771531.15520000015</v>
      </c>
      <c r="E19" s="124">
        <f t="shared" si="13"/>
        <v>682642</v>
      </c>
      <c r="F19" s="124">
        <f t="shared" si="13"/>
        <v>741856.88000000012</v>
      </c>
      <c r="G19" s="125">
        <f t="shared" si="13"/>
        <v>771531.15520000015</v>
      </c>
      <c r="H19" s="123">
        <f t="shared" si="13"/>
        <v>0</v>
      </c>
      <c r="I19" s="124">
        <f t="shared" si="13"/>
        <v>0</v>
      </c>
      <c r="J19" s="125">
        <f t="shared" si="13"/>
        <v>0</v>
      </c>
      <c r="K19" s="123">
        <f t="shared" si="13"/>
        <v>0</v>
      </c>
      <c r="L19" s="126">
        <f>SUM(L8:L18)</f>
        <v>0</v>
      </c>
      <c r="M19" s="127">
        <f>SUM(M8:M18)</f>
        <v>0</v>
      </c>
      <c r="N19" s="123">
        <f t="shared" ref="N19:P19" si="14">SUM(N8:N18)</f>
        <v>0</v>
      </c>
      <c r="O19" s="130">
        <f t="shared" si="14"/>
        <v>0</v>
      </c>
      <c r="P19" s="131">
        <f t="shared" si="14"/>
        <v>0</v>
      </c>
    </row>
    <row r="20" spans="1:16" x14ac:dyDescent="0.25">
      <c r="A20" s="121" t="s">
        <v>88</v>
      </c>
      <c r="B20" s="122">
        <f t="shared" ref="B20:D25" si="15">SUM(E20+H20+K20+$N20+$O20+$P20)</f>
        <v>108969</v>
      </c>
      <c r="C20" s="122">
        <f t="shared" si="15"/>
        <v>110327.76000000001</v>
      </c>
      <c r="D20" s="122">
        <f t="shared" si="15"/>
        <v>111740.8704</v>
      </c>
      <c r="E20" s="123"/>
      <c r="F20" s="124">
        <f t="shared" ref="F20:G32" si="16">$E20*(1+F$94)</f>
        <v>0</v>
      </c>
      <c r="G20" s="125">
        <f t="shared" si="16"/>
        <v>0</v>
      </c>
      <c r="H20" s="123">
        <f>108969-P20</f>
        <v>33969</v>
      </c>
      <c r="I20" s="124">
        <f t="shared" ref="I20:J32" si="17">$H20*(1+I$94)</f>
        <v>35327.760000000002</v>
      </c>
      <c r="J20" s="125">
        <f>$I20*(1+J$94)</f>
        <v>36740.8704</v>
      </c>
      <c r="K20" s="123"/>
      <c r="L20" s="126">
        <f t="shared" ref="L20:L26" si="18">($K20+N20)*(1+L$94)</f>
        <v>0</v>
      </c>
      <c r="M20" s="127">
        <f t="shared" ref="M20:M26" si="19">($K20+N20)*(1+M$94)</f>
        <v>0</v>
      </c>
      <c r="N20" s="123"/>
      <c r="O20" s="124"/>
      <c r="P20" s="125">
        <v>75000</v>
      </c>
    </row>
    <row r="21" spans="1:16" x14ac:dyDescent="0.25">
      <c r="A21" s="121" t="s">
        <v>175</v>
      </c>
      <c r="B21" s="122">
        <f t="shared" si="15"/>
        <v>49705.183249488</v>
      </c>
      <c r="C21" s="122">
        <f t="shared" si="15"/>
        <v>51693.390579467523</v>
      </c>
      <c r="D21" s="122">
        <f t="shared" si="15"/>
        <v>53761.126202646228</v>
      </c>
      <c r="E21" s="123"/>
      <c r="F21" s="124">
        <f t="shared" si="16"/>
        <v>0</v>
      </c>
      <c r="G21" s="125">
        <f t="shared" si="16"/>
        <v>0</v>
      </c>
      <c r="H21" s="133">
        <f>[2]salary!$P$45</f>
        <v>49705.183249488</v>
      </c>
      <c r="I21" s="124">
        <f t="shared" si="17"/>
        <v>51693.390579467523</v>
      </c>
      <c r="J21" s="125">
        <f>$I21*(1+J$94)</f>
        <v>53761.126202646228</v>
      </c>
      <c r="K21" s="123"/>
      <c r="L21" s="126">
        <f t="shared" si="18"/>
        <v>0</v>
      </c>
      <c r="M21" s="127">
        <f t="shared" si="19"/>
        <v>0</v>
      </c>
      <c r="N21" s="123"/>
      <c r="O21" s="124"/>
      <c r="P21" s="125"/>
    </row>
    <row r="22" spans="1:16" x14ac:dyDescent="0.25">
      <c r="A22" s="121" t="s">
        <v>176</v>
      </c>
      <c r="B22" s="122">
        <f t="shared" si="15"/>
        <v>49705</v>
      </c>
      <c r="C22" s="122">
        <f t="shared" si="15"/>
        <v>49893.2</v>
      </c>
      <c r="D22" s="122">
        <f t="shared" si="15"/>
        <v>50088.928</v>
      </c>
      <c r="E22" s="123"/>
      <c r="F22" s="124">
        <f t="shared" si="16"/>
        <v>0</v>
      </c>
      <c r="G22" s="125">
        <f t="shared" si="16"/>
        <v>0</v>
      </c>
      <c r="H22" s="133">
        <v>4705</v>
      </c>
      <c r="I22" s="124">
        <f t="shared" si="17"/>
        <v>4893.2</v>
      </c>
      <c r="J22" s="125">
        <f>$I22*(1+J$94)</f>
        <v>5088.9279999999999</v>
      </c>
      <c r="K22" s="123"/>
      <c r="L22" s="126">
        <f t="shared" si="18"/>
        <v>0</v>
      </c>
      <c r="M22" s="127">
        <f t="shared" si="19"/>
        <v>0</v>
      </c>
      <c r="N22" s="123"/>
      <c r="O22" s="124">
        <v>45000</v>
      </c>
      <c r="P22" s="125"/>
    </row>
    <row r="23" spans="1:16" x14ac:dyDescent="0.25">
      <c r="A23" s="121" t="s">
        <v>91</v>
      </c>
      <c r="B23" s="122">
        <f t="shared" si="15"/>
        <v>80933</v>
      </c>
      <c r="C23" s="122">
        <f t="shared" si="15"/>
        <v>84170.32</v>
      </c>
      <c r="D23" s="122">
        <f t="shared" si="15"/>
        <v>87537.132800000007</v>
      </c>
      <c r="E23" s="123"/>
      <c r="F23" s="124">
        <f t="shared" si="16"/>
        <v>0</v>
      </c>
      <c r="G23" s="125">
        <f t="shared" si="16"/>
        <v>0</v>
      </c>
      <c r="H23" s="133">
        <v>80933</v>
      </c>
      <c r="I23" s="124">
        <f t="shared" si="17"/>
        <v>84170.32</v>
      </c>
      <c r="J23" s="125">
        <f>$I23*(1+J$94)</f>
        <v>87537.132800000007</v>
      </c>
      <c r="K23" s="123"/>
      <c r="L23" s="126">
        <f t="shared" si="18"/>
        <v>0</v>
      </c>
      <c r="M23" s="127">
        <f t="shared" si="19"/>
        <v>0</v>
      </c>
      <c r="N23" s="123"/>
      <c r="O23" s="124"/>
      <c r="P23" s="125"/>
    </row>
    <row r="24" spans="1:16" x14ac:dyDescent="0.25">
      <c r="A24" s="121" t="s">
        <v>92</v>
      </c>
      <c r="B24" s="122">
        <f t="shared" si="15"/>
        <v>88232</v>
      </c>
      <c r="C24" s="122">
        <f t="shared" si="15"/>
        <v>91761.279999999999</v>
      </c>
      <c r="D24" s="122">
        <f t="shared" si="15"/>
        <v>95431.731200000009</v>
      </c>
      <c r="E24" s="123"/>
      <c r="F24" s="124">
        <f t="shared" si="16"/>
        <v>0</v>
      </c>
      <c r="G24" s="125">
        <f t="shared" si="16"/>
        <v>0</v>
      </c>
      <c r="H24" s="133">
        <v>88232</v>
      </c>
      <c r="I24" s="124">
        <f t="shared" si="17"/>
        <v>91761.279999999999</v>
      </c>
      <c r="J24" s="125">
        <f>$I24*(1+J$94)</f>
        <v>95431.731200000009</v>
      </c>
      <c r="K24" s="123"/>
      <c r="L24" s="126">
        <f t="shared" si="18"/>
        <v>0</v>
      </c>
      <c r="M24" s="127">
        <f t="shared" si="19"/>
        <v>0</v>
      </c>
      <c r="N24" s="123"/>
      <c r="O24" s="124"/>
      <c r="P24" s="125"/>
    </row>
    <row r="25" spans="1:16" x14ac:dyDescent="0.25">
      <c r="A25" s="121" t="s">
        <v>177</v>
      </c>
      <c r="B25" s="122">
        <f t="shared" si="15"/>
        <v>0</v>
      </c>
      <c r="C25" s="122">
        <f t="shared" si="15"/>
        <v>0</v>
      </c>
      <c r="D25" s="122">
        <f t="shared" si="15"/>
        <v>0</v>
      </c>
      <c r="E25" s="123"/>
      <c r="F25" s="124">
        <f t="shared" si="16"/>
        <v>0</v>
      </c>
      <c r="G25" s="125">
        <f t="shared" si="16"/>
        <v>0</v>
      </c>
      <c r="H25" s="133"/>
      <c r="I25" s="124">
        <f t="shared" si="17"/>
        <v>0</v>
      </c>
      <c r="J25" s="125">
        <f t="shared" si="17"/>
        <v>0</v>
      </c>
      <c r="K25" s="123"/>
      <c r="L25" s="126">
        <f t="shared" si="18"/>
        <v>0</v>
      </c>
      <c r="M25" s="127">
        <f t="shared" si="19"/>
        <v>0</v>
      </c>
      <c r="N25" s="123"/>
      <c r="O25" s="124"/>
      <c r="P25" s="125"/>
    </row>
    <row r="26" spans="1:16" x14ac:dyDescent="0.25">
      <c r="A26" s="129" t="s">
        <v>178</v>
      </c>
      <c r="B26" s="122">
        <f t="shared" ref="B26:D26" si="20">SUM(B20:B25)</f>
        <v>377544.18324948801</v>
      </c>
      <c r="C26" s="122">
        <f t="shared" si="20"/>
        <v>387845.95057946758</v>
      </c>
      <c r="D26" s="122">
        <f t="shared" si="20"/>
        <v>398559.78860264621</v>
      </c>
      <c r="E26" s="134">
        <f t="shared" ref="E26:P26" si="21">SUM(E20:E25)</f>
        <v>0</v>
      </c>
      <c r="F26" s="124">
        <f t="shared" si="16"/>
        <v>0</v>
      </c>
      <c r="G26" s="125">
        <f t="shared" si="16"/>
        <v>0</v>
      </c>
      <c r="H26" s="133">
        <f t="shared" si="21"/>
        <v>257544.18324948801</v>
      </c>
      <c r="I26" s="124">
        <f t="shared" si="17"/>
        <v>267845.95057946752</v>
      </c>
      <c r="J26" s="125">
        <f t="shared" si="17"/>
        <v>267845.95057946752</v>
      </c>
      <c r="K26" s="133">
        <f t="shared" si="21"/>
        <v>0</v>
      </c>
      <c r="L26" s="126">
        <f t="shared" si="18"/>
        <v>0</v>
      </c>
      <c r="M26" s="127">
        <f t="shared" si="19"/>
        <v>0</v>
      </c>
      <c r="N26" s="133">
        <f>SUM(N20:N25)</f>
        <v>0</v>
      </c>
      <c r="O26" s="135">
        <f t="shared" si="21"/>
        <v>45000</v>
      </c>
      <c r="P26" s="136">
        <f t="shared" si="21"/>
        <v>75000</v>
      </c>
    </row>
    <row r="27" spans="1:16" ht="15" customHeight="1" x14ac:dyDescent="0.25">
      <c r="A27" s="121" t="s">
        <v>179</v>
      </c>
      <c r="B27" s="122">
        <f t="shared" ref="B27:D31" si="22">SUM(E27+H27+K27+$N27+$O27+$P27)</f>
        <v>94074.02</v>
      </c>
      <c r="C27" s="122">
        <f t="shared" si="22"/>
        <v>134104.01999999999</v>
      </c>
      <c r="D27" s="122">
        <f t="shared" si="22"/>
        <v>139136.46</v>
      </c>
      <c r="E27" s="123"/>
      <c r="F27" s="124">
        <f t="shared" si="16"/>
        <v>0</v>
      </c>
      <c r="G27" s="125">
        <f t="shared" si="16"/>
        <v>0</v>
      </c>
      <c r="H27" s="133"/>
      <c r="I27" s="124">
        <f t="shared" si="17"/>
        <v>0</v>
      </c>
      <c r="J27" s="125">
        <f t="shared" si="17"/>
        <v>0</v>
      </c>
      <c r="K27" s="123">
        <v>85781</v>
      </c>
      <c r="L27" s="126">
        <v>125811</v>
      </c>
      <c r="M27" s="127">
        <f>($L27)*(1+M$94)</f>
        <v>130843.44</v>
      </c>
      <c r="N27" s="123">
        <f>+N3*0.03</f>
        <v>8293.02</v>
      </c>
      <c r="O27" s="124"/>
      <c r="P27" s="125"/>
    </row>
    <row r="28" spans="1:16" ht="15" customHeight="1" x14ac:dyDescent="0.25">
      <c r="A28" s="121" t="s">
        <v>6</v>
      </c>
      <c r="B28" s="122">
        <f t="shared" si="22"/>
        <v>153957</v>
      </c>
      <c r="C28" s="122">
        <f t="shared" si="22"/>
        <v>160115.28</v>
      </c>
      <c r="D28" s="122">
        <f t="shared" si="22"/>
        <v>166519.89120000001</v>
      </c>
      <c r="E28" s="123"/>
      <c r="F28" s="124">
        <f t="shared" si="16"/>
        <v>0</v>
      </c>
      <c r="G28" s="125">
        <f t="shared" si="16"/>
        <v>0</v>
      </c>
      <c r="H28" s="133"/>
      <c r="I28" s="124">
        <f t="shared" si="17"/>
        <v>0</v>
      </c>
      <c r="J28" s="125">
        <f t="shared" si="17"/>
        <v>0</v>
      </c>
      <c r="K28" s="123">
        <v>153957</v>
      </c>
      <c r="L28" s="126">
        <f>($K28)*(1+L$94)</f>
        <v>160115.28</v>
      </c>
      <c r="M28" s="127">
        <f>($L28)*(1+M$94)</f>
        <v>166519.89120000001</v>
      </c>
      <c r="N28" s="123"/>
      <c r="O28" s="124"/>
      <c r="P28" s="125"/>
    </row>
    <row r="29" spans="1:16" ht="15" customHeight="1" x14ac:dyDescent="0.25">
      <c r="A29" s="121" t="s">
        <v>96</v>
      </c>
      <c r="B29" s="122">
        <f t="shared" si="22"/>
        <v>50831</v>
      </c>
      <c r="C29" s="122">
        <f t="shared" si="22"/>
        <v>52864.240000000005</v>
      </c>
      <c r="D29" s="122">
        <f t="shared" si="22"/>
        <v>54978.809600000008</v>
      </c>
      <c r="E29" s="123"/>
      <c r="F29" s="124">
        <f t="shared" si="16"/>
        <v>0</v>
      </c>
      <c r="G29" s="125">
        <f t="shared" si="16"/>
        <v>0</v>
      </c>
      <c r="H29" s="133"/>
      <c r="I29" s="124">
        <f t="shared" si="17"/>
        <v>0</v>
      </c>
      <c r="J29" s="125">
        <f t="shared" si="17"/>
        <v>0</v>
      </c>
      <c r="K29" s="123">
        <v>50831</v>
      </c>
      <c r="L29" s="126">
        <f>($K29)*(1+L$94)</f>
        <v>52864.240000000005</v>
      </c>
      <c r="M29" s="127">
        <f>($L29)*(1+M$94)</f>
        <v>54978.809600000008</v>
      </c>
      <c r="N29" s="123"/>
      <c r="O29" s="124"/>
      <c r="P29" s="125"/>
    </row>
    <row r="30" spans="1:16" ht="15" customHeight="1" x14ac:dyDescent="0.25">
      <c r="A30" s="121" t="s">
        <v>97</v>
      </c>
      <c r="B30" s="122">
        <f t="shared" si="22"/>
        <v>117286</v>
      </c>
      <c r="C30" s="122">
        <f t="shared" si="22"/>
        <v>121977.44</v>
      </c>
      <c r="D30" s="122">
        <f t="shared" si="22"/>
        <v>126856.53760000001</v>
      </c>
      <c r="E30" s="123"/>
      <c r="F30" s="124">
        <f t="shared" si="16"/>
        <v>0</v>
      </c>
      <c r="G30" s="125">
        <f t="shared" si="16"/>
        <v>0</v>
      </c>
      <c r="H30" s="133"/>
      <c r="I30" s="124">
        <f t="shared" si="17"/>
        <v>0</v>
      </c>
      <c r="J30" s="125">
        <f t="shared" si="17"/>
        <v>0</v>
      </c>
      <c r="K30" s="123">
        <v>117286</v>
      </c>
      <c r="L30" s="126">
        <f>($K30)*(1+L$94)</f>
        <v>121977.44</v>
      </c>
      <c r="M30" s="127">
        <f>($L30)*(1+M$94)</f>
        <v>126856.53760000001</v>
      </c>
      <c r="N30" s="123"/>
      <c r="O30" s="124"/>
      <c r="P30" s="125"/>
    </row>
    <row r="31" spans="1:16" ht="15" customHeight="1" x14ac:dyDescent="0.25">
      <c r="A31" s="121" t="s">
        <v>98</v>
      </c>
      <c r="B31" s="122">
        <f t="shared" si="22"/>
        <v>162073</v>
      </c>
      <c r="C31" s="122">
        <f t="shared" si="22"/>
        <v>168555.92</v>
      </c>
      <c r="D31" s="122">
        <f t="shared" si="22"/>
        <v>175298.15680000003</v>
      </c>
      <c r="E31" s="123"/>
      <c r="F31" s="124">
        <f t="shared" si="16"/>
        <v>0</v>
      </c>
      <c r="G31" s="125">
        <f t="shared" si="16"/>
        <v>0</v>
      </c>
      <c r="H31" s="133"/>
      <c r="I31" s="124">
        <f t="shared" si="17"/>
        <v>0</v>
      </c>
      <c r="J31" s="125">
        <f t="shared" si="17"/>
        <v>0</v>
      </c>
      <c r="K31" s="123">
        <v>162073</v>
      </c>
      <c r="L31" s="126">
        <f>($K31)*(1+L$94)</f>
        <v>168555.92</v>
      </c>
      <c r="M31" s="127">
        <f>($L31)*(1+M$94)</f>
        <v>175298.15680000003</v>
      </c>
      <c r="N31" s="123"/>
      <c r="O31" s="124"/>
      <c r="P31" s="125"/>
    </row>
    <row r="32" spans="1:16" x14ac:dyDescent="0.25">
      <c r="A32" s="129" t="s">
        <v>180</v>
      </c>
      <c r="B32" s="122">
        <f t="shared" ref="B32:D32" si="23">SUM(B27:B31)</f>
        <v>578221.02</v>
      </c>
      <c r="C32" s="122">
        <f t="shared" si="23"/>
        <v>637616.9</v>
      </c>
      <c r="D32" s="122">
        <f t="shared" si="23"/>
        <v>662789.85520000011</v>
      </c>
      <c r="E32" s="137">
        <f t="shared" ref="E32:P32" si="24">SUM(E27:E31)</f>
        <v>0</v>
      </c>
      <c r="F32" s="124">
        <f t="shared" si="16"/>
        <v>0</v>
      </c>
      <c r="G32" s="125">
        <f t="shared" si="16"/>
        <v>0</v>
      </c>
      <c r="H32" s="123">
        <f t="shared" si="24"/>
        <v>0</v>
      </c>
      <c r="I32" s="124">
        <f t="shared" si="17"/>
        <v>0</v>
      </c>
      <c r="J32" s="125">
        <f t="shared" si="17"/>
        <v>0</v>
      </c>
      <c r="K32" s="123">
        <f t="shared" si="24"/>
        <v>569928</v>
      </c>
      <c r="L32" s="126">
        <f t="shared" si="24"/>
        <v>629323.88</v>
      </c>
      <c r="M32" s="127">
        <f t="shared" si="24"/>
        <v>654496.83520000009</v>
      </c>
      <c r="N32" s="123">
        <f>SUM(N27:N31)</f>
        <v>8293.02</v>
      </c>
      <c r="O32" s="130">
        <f t="shared" si="24"/>
        <v>0</v>
      </c>
      <c r="P32" s="131">
        <f t="shared" si="24"/>
        <v>0</v>
      </c>
    </row>
    <row r="33" spans="1:16" s="142" customFormat="1" ht="15.75" thickBot="1" x14ac:dyDescent="0.3">
      <c r="A33" s="138" t="s">
        <v>99</v>
      </c>
      <c r="B33" s="122">
        <f t="shared" ref="B33:D33" si="25">SUM(E33+H33+K33+$N33+$O33+$P33)</f>
        <v>17500</v>
      </c>
      <c r="C33" s="122">
        <f t="shared" si="25"/>
        <v>19430</v>
      </c>
      <c r="D33" s="122">
        <f t="shared" si="25"/>
        <v>19430</v>
      </c>
      <c r="E33" s="139">
        <v>7000</v>
      </c>
      <c r="F33" s="140">
        <v>7630</v>
      </c>
      <c r="G33" s="141">
        <v>7630</v>
      </c>
      <c r="H33" s="123">
        <v>4000</v>
      </c>
      <c r="I33" s="124">
        <v>4500</v>
      </c>
      <c r="J33" s="125">
        <v>4500</v>
      </c>
      <c r="K33" s="123">
        <v>6500</v>
      </c>
      <c r="L33" s="124">
        <v>7300</v>
      </c>
      <c r="M33" s="125">
        <v>7300</v>
      </c>
      <c r="N33" s="123">
        <v>0</v>
      </c>
      <c r="O33" s="124">
        <v>0</v>
      </c>
      <c r="P33" s="125">
        <v>0</v>
      </c>
    </row>
    <row r="34" spans="1:16" ht="15.75" thickBot="1" x14ac:dyDescent="0.3">
      <c r="A34" s="143" t="s">
        <v>181</v>
      </c>
      <c r="B34" s="144">
        <f>+B33+B32+B26+B19+B7</f>
        <v>1987821.203249488</v>
      </c>
      <c r="C34" s="144">
        <f>C7+C19+C26+C32+C33</f>
        <v>2129426.4505794677</v>
      </c>
      <c r="D34" s="144">
        <f>+D33+D32+D26+D19+D7</f>
        <v>2206556.3478026465</v>
      </c>
      <c r="E34" s="145">
        <f>+E33+E32+E26+E19+E7</f>
        <v>867998</v>
      </c>
      <c r="F34" s="146">
        <f t="shared" ref="F34:G34" si="26">+F33+F32+F26+F19+F7</f>
        <v>934977.12000000011</v>
      </c>
      <c r="G34" s="147">
        <f t="shared" si="26"/>
        <v>972071.00480000011</v>
      </c>
      <c r="H34" s="148">
        <f>+H33+H32+H26+H19+H7</f>
        <v>337100.18324948801</v>
      </c>
      <c r="I34" s="149">
        <f t="shared" ref="I34:J34" si="27">+I33+I32+I26+I19+I7</f>
        <v>350924.19057946751</v>
      </c>
      <c r="J34" s="150">
        <f t="shared" si="27"/>
        <v>351929.08017946751</v>
      </c>
      <c r="K34" s="148">
        <f>+K33+K32+K26+K19+K7</f>
        <v>654430</v>
      </c>
      <c r="L34" s="149">
        <f t="shared" ref="L34:M34" si="28">+L33+L32+L26+L19+L7</f>
        <v>715232.12</v>
      </c>
      <c r="M34" s="150">
        <f t="shared" si="28"/>
        <v>743549.40480000013</v>
      </c>
      <c r="N34" s="148">
        <f>+N33+N32+N26+N19+N7</f>
        <v>8293.02</v>
      </c>
      <c r="O34" s="149">
        <f>+O33+O32+O26+O19+O7</f>
        <v>45000</v>
      </c>
      <c r="P34" s="150">
        <f>+P33+P32+P26+P19+P7</f>
        <v>75000</v>
      </c>
    </row>
    <row r="35" spans="1:16" ht="15.75" thickBot="1" x14ac:dyDescent="0.3">
      <c r="A35" s="151" t="s">
        <v>101</v>
      </c>
      <c r="B35" s="152">
        <f>+B34/(B3-$N$41)</f>
        <v>0.80503482771178458</v>
      </c>
      <c r="C35" s="152">
        <f>+C34/(C3-$N$41)</f>
        <v>0.86238261920380799</v>
      </c>
      <c r="D35" s="152">
        <f>+D34/(D3-$N$41)</f>
        <v>0.89361895646642864</v>
      </c>
      <c r="E35" s="153">
        <f>+E34/E3</f>
        <v>0.76803036848624684</v>
      </c>
      <c r="F35" s="154">
        <f t="shared" ref="F35:P35" si="29">+F34/F3</f>
        <v>0.82729547994328323</v>
      </c>
      <c r="G35" s="155">
        <f t="shared" si="29"/>
        <v>0.8601172491311504</v>
      </c>
      <c r="H35" s="153">
        <f t="shared" si="29"/>
        <v>0.87332956898395175</v>
      </c>
      <c r="I35" s="153">
        <f t="shared" si="29"/>
        <v>0.9091435939030269</v>
      </c>
      <c r="J35" s="153">
        <f t="shared" si="29"/>
        <v>0.9117469736840309</v>
      </c>
      <c r="K35" s="153">
        <f t="shared" si="29"/>
        <v>0.80125226658047233</v>
      </c>
      <c r="L35" s="154">
        <f t="shared" si="29"/>
        <v>0.875695425455979</v>
      </c>
      <c r="M35" s="155">
        <f t="shared" si="29"/>
        <v>0.9103657318743964</v>
      </c>
      <c r="N35" s="153">
        <f>+N34/N3</f>
        <v>3.0000000000000002E-2</v>
      </c>
      <c r="O35" s="154">
        <f t="shared" si="29"/>
        <v>1</v>
      </c>
      <c r="P35" s="155">
        <f t="shared" si="29"/>
        <v>1</v>
      </c>
    </row>
    <row r="36" spans="1:16" x14ac:dyDescent="0.25">
      <c r="A36" s="156" t="s">
        <v>25</v>
      </c>
      <c r="B36" s="157"/>
      <c r="C36" s="157"/>
      <c r="D36" s="157"/>
      <c r="E36" s="158"/>
      <c r="F36" s="159"/>
      <c r="G36" s="160"/>
      <c r="H36" s="158"/>
      <c r="I36" s="159"/>
      <c r="J36" s="160"/>
      <c r="K36" s="158"/>
      <c r="L36" s="159"/>
      <c r="M36" s="160"/>
      <c r="N36" s="158"/>
      <c r="O36" s="159"/>
      <c r="P36" s="160"/>
    </row>
    <row r="37" spans="1:16" x14ac:dyDescent="0.25">
      <c r="A37" s="138" t="s">
        <v>103</v>
      </c>
      <c r="B37" s="161">
        <f t="shared" ref="B37:D43" si="30">SUM(E37+H37+K37+$N37+$O37+$P37)</f>
        <v>0</v>
      </c>
      <c r="C37" s="161">
        <f t="shared" si="30"/>
        <v>0</v>
      </c>
      <c r="D37" s="161">
        <f t="shared" si="30"/>
        <v>0</v>
      </c>
      <c r="E37" s="123"/>
      <c r="F37" s="124">
        <f>$E37*(1+F$93)</f>
        <v>0</v>
      </c>
      <c r="G37" s="125">
        <f>$E37*(1+G$93)</f>
        <v>0</v>
      </c>
      <c r="H37" s="133"/>
      <c r="I37" s="124">
        <f>$H37*(1+I$93)</f>
        <v>0</v>
      </c>
      <c r="J37" s="125">
        <f>$H37*(1+J$93)</f>
        <v>0</v>
      </c>
      <c r="K37" s="123"/>
      <c r="L37" s="124">
        <f>($K37)*(1+L$93)</f>
        <v>0</v>
      </c>
      <c r="M37" s="125">
        <f>($K37)*(1+M$93)</f>
        <v>0</v>
      </c>
      <c r="N37" s="123"/>
      <c r="O37" s="124"/>
      <c r="P37" s="128"/>
    </row>
    <row r="38" spans="1:16" x14ac:dyDescent="0.25">
      <c r="A38" s="138" t="s">
        <v>182</v>
      </c>
      <c r="B38" s="161">
        <f t="shared" si="30"/>
        <v>0</v>
      </c>
      <c r="C38" s="161">
        <f t="shared" si="30"/>
        <v>0</v>
      </c>
      <c r="D38" s="161">
        <f t="shared" si="30"/>
        <v>0</v>
      </c>
      <c r="E38" s="123"/>
      <c r="F38" s="124"/>
      <c r="G38" s="125"/>
      <c r="H38" s="133"/>
      <c r="I38" s="124">
        <f>$H38*(1+I$93)</f>
        <v>0</v>
      </c>
      <c r="J38" s="125">
        <f>$H38*(1+J$93)</f>
        <v>0</v>
      </c>
      <c r="K38" s="123"/>
      <c r="L38" s="124">
        <f>($K38)*(1+L$93)</f>
        <v>0</v>
      </c>
      <c r="M38" s="125">
        <f>($K38)*(1+M$93)</f>
        <v>0</v>
      </c>
      <c r="N38" s="123"/>
      <c r="O38" s="124"/>
      <c r="P38" s="128"/>
    </row>
    <row r="39" spans="1:16" x14ac:dyDescent="0.25">
      <c r="A39" s="138" t="s">
        <v>183</v>
      </c>
      <c r="B39" s="161">
        <f t="shared" si="30"/>
        <v>14474</v>
      </c>
      <c r="C39" s="161">
        <f t="shared" si="30"/>
        <v>0</v>
      </c>
      <c r="D39" s="161">
        <f t="shared" si="30"/>
        <v>0</v>
      </c>
      <c r="E39" s="123">
        <v>10570</v>
      </c>
      <c r="F39" s="124"/>
      <c r="G39" s="125"/>
      <c r="H39" s="133">
        <v>3904</v>
      </c>
      <c r="I39" s="124">
        <v>0</v>
      </c>
      <c r="J39" s="125">
        <v>0</v>
      </c>
      <c r="K39" s="123"/>
      <c r="L39" s="124"/>
      <c r="M39" s="125"/>
      <c r="N39" s="123"/>
      <c r="O39" s="124"/>
      <c r="P39" s="128"/>
    </row>
    <row r="40" spans="1:16" x14ac:dyDescent="0.25">
      <c r="A40" s="138" t="s">
        <v>108</v>
      </c>
      <c r="B40" s="161">
        <f t="shared" si="30"/>
        <v>0</v>
      </c>
      <c r="C40" s="161">
        <f t="shared" si="30"/>
        <v>0</v>
      </c>
      <c r="D40" s="161">
        <f t="shared" si="30"/>
        <v>0</v>
      </c>
      <c r="E40" s="123"/>
      <c r="F40" s="124">
        <f t="shared" ref="F40:G43" si="31">$E40*(1+F$93)</f>
        <v>0</v>
      </c>
      <c r="G40" s="125">
        <f t="shared" si="31"/>
        <v>0</v>
      </c>
      <c r="H40" s="133"/>
      <c r="I40" s="124">
        <f t="shared" ref="I40:J44" si="32">$H40*(1+I$93)</f>
        <v>0</v>
      </c>
      <c r="J40" s="125">
        <f t="shared" si="32"/>
        <v>0</v>
      </c>
      <c r="K40" s="123"/>
      <c r="L40" s="124">
        <f t="shared" ref="L40:M43" si="33">($K40)*(1+L$93)</f>
        <v>0</v>
      </c>
      <c r="M40" s="125">
        <f t="shared" si="33"/>
        <v>0</v>
      </c>
      <c r="N40" s="123"/>
      <c r="O40" s="124"/>
      <c r="P40" s="128"/>
    </row>
    <row r="41" spans="1:16" x14ac:dyDescent="0.25">
      <c r="A41" s="162" t="s">
        <v>184</v>
      </c>
      <c r="B41" s="161">
        <f t="shared" si="30"/>
        <v>260112</v>
      </c>
      <c r="C41" s="161">
        <f t="shared" si="30"/>
        <v>260112</v>
      </c>
      <c r="D41" s="161">
        <f t="shared" si="30"/>
        <v>260112</v>
      </c>
      <c r="E41" s="123"/>
      <c r="F41" s="124">
        <f t="shared" si="31"/>
        <v>0</v>
      </c>
      <c r="G41" s="125">
        <f t="shared" si="31"/>
        <v>0</v>
      </c>
      <c r="H41" s="133"/>
      <c r="I41" s="124">
        <f t="shared" si="32"/>
        <v>0</v>
      </c>
      <c r="J41" s="125">
        <f t="shared" si="32"/>
        <v>0</v>
      </c>
      <c r="K41" s="123"/>
      <c r="L41" s="124">
        <f t="shared" si="33"/>
        <v>0</v>
      </c>
      <c r="M41" s="125">
        <f t="shared" si="33"/>
        <v>0</v>
      </c>
      <c r="N41" s="123">
        <v>260112</v>
      </c>
      <c r="O41" s="124"/>
      <c r="P41" s="128"/>
    </row>
    <row r="42" spans="1:16" x14ac:dyDescent="0.25">
      <c r="A42" s="138" t="s">
        <v>111</v>
      </c>
      <c r="B42" s="161">
        <f t="shared" si="30"/>
        <v>7500</v>
      </c>
      <c r="C42" s="161">
        <f t="shared" si="30"/>
        <v>7650</v>
      </c>
      <c r="D42" s="161">
        <f t="shared" si="30"/>
        <v>7803</v>
      </c>
      <c r="E42" s="123"/>
      <c r="F42" s="124">
        <f t="shared" si="31"/>
        <v>0</v>
      </c>
      <c r="G42" s="125">
        <f t="shared" si="31"/>
        <v>0</v>
      </c>
      <c r="H42" s="133"/>
      <c r="I42" s="124">
        <f t="shared" si="32"/>
        <v>0</v>
      </c>
      <c r="J42" s="125">
        <f t="shared" si="32"/>
        <v>0</v>
      </c>
      <c r="K42" s="123">
        <v>7500</v>
      </c>
      <c r="L42" s="124">
        <f t="shared" si="33"/>
        <v>7650</v>
      </c>
      <c r="M42" s="125">
        <f>($L42)*(1+M$93)</f>
        <v>7803</v>
      </c>
      <c r="N42" s="123"/>
      <c r="O42" s="124"/>
      <c r="P42" s="128"/>
    </row>
    <row r="43" spans="1:16" x14ac:dyDescent="0.25">
      <c r="A43" s="162" t="s">
        <v>112</v>
      </c>
      <c r="B43" s="161">
        <f t="shared" si="30"/>
        <v>15000</v>
      </c>
      <c r="C43" s="161">
        <f t="shared" si="30"/>
        <v>15300</v>
      </c>
      <c r="D43" s="161">
        <f t="shared" si="30"/>
        <v>15402</v>
      </c>
      <c r="E43" s="123">
        <v>5000</v>
      </c>
      <c r="F43" s="124">
        <f t="shared" si="31"/>
        <v>5100</v>
      </c>
      <c r="G43" s="125">
        <f t="shared" si="31"/>
        <v>5100</v>
      </c>
      <c r="H43" s="133">
        <v>5000</v>
      </c>
      <c r="I43" s="124">
        <f t="shared" si="32"/>
        <v>5100</v>
      </c>
      <c r="J43" s="125">
        <f t="shared" si="32"/>
        <v>5100</v>
      </c>
      <c r="K43" s="123">
        <v>5000</v>
      </c>
      <c r="L43" s="124">
        <f t="shared" si="33"/>
        <v>5100</v>
      </c>
      <c r="M43" s="125">
        <f>($L43)*(1+M$93)</f>
        <v>5202</v>
      </c>
      <c r="N43" s="123"/>
      <c r="O43" s="124"/>
      <c r="P43" s="128"/>
    </row>
    <row r="44" spans="1:16" ht="15.75" thickBot="1" x14ac:dyDescent="0.3">
      <c r="A44" s="163" t="s">
        <v>113</v>
      </c>
      <c r="B44" s="164">
        <f t="shared" ref="B44:H44" si="34">SUM(B37:B43)</f>
        <v>297086</v>
      </c>
      <c r="C44" s="164">
        <f t="shared" si="34"/>
        <v>283062</v>
      </c>
      <c r="D44" s="164">
        <f t="shared" si="34"/>
        <v>283317</v>
      </c>
      <c r="E44" s="165">
        <f t="shared" si="34"/>
        <v>15570</v>
      </c>
      <c r="F44" s="166">
        <f t="shared" si="34"/>
        <v>5100</v>
      </c>
      <c r="G44" s="167">
        <f t="shared" si="34"/>
        <v>5100</v>
      </c>
      <c r="H44" s="165">
        <f t="shared" si="34"/>
        <v>8904</v>
      </c>
      <c r="I44" s="166">
        <f t="shared" si="32"/>
        <v>9082.08</v>
      </c>
      <c r="J44" s="167">
        <f t="shared" si="32"/>
        <v>9082.08</v>
      </c>
      <c r="K44" s="165">
        <f t="shared" ref="K44:P44" si="35">SUM(K37:K43)</f>
        <v>12500</v>
      </c>
      <c r="L44" s="166">
        <f t="shared" si="35"/>
        <v>12750</v>
      </c>
      <c r="M44" s="167">
        <f t="shared" si="35"/>
        <v>13005</v>
      </c>
      <c r="N44" s="165">
        <f t="shared" si="35"/>
        <v>260112</v>
      </c>
      <c r="O44" s="166">
        <f t="shared" si="35"/>
        <v>0</v>
      </c>
      <c r="P44" s="167">
        <f t="shared" si="35"/>
        <v>0</v>
      </c>
    </row>
    <row r="45" spans="1:16" x14ac:dyDescent="0.25">
      <c r="A45" s="168" t="s">
        <v>114</v>
      </c>
      <c r="B45" s="169"/>
      <c r="C45" s="169"/>
      <c r="D45" s="169"/>
      <c r="E45" s="170"/>
      <c r="F45" s="171"/>
      <c r="G45" s="172"/>
      <c r="H45" s="170"/>
      <c r="I45" s="171"/>
      <c r="J45" s="172"/>
      <c r="K45" s="170"/>
      <c r="L45" s="171"/>
      <c r="M45" s="172"/>
      <c r="N45" s="170"/>
      <c r="O45" s="171"/>
      <c r="P45" s="172"/>
    </row>
    <row r="46" spans="1:16" x14ac:dyDescent="0.25">
      <c r="A46" s="173" t="s">
        <v>115</v>
      </c>
      <c r="B46" s="122">
        <f t="shared" ref="B46:D50" si="36">SUM(E46+H46+K46+$N46+$O46+$P46)</f>
        <v>69265.356992000001</v>
      </c>
      <c r="C46" s="122">
        <f t="shared" si="36"/>
        <v>70504.706979840004</v>
      </c>
      <c r="D46" s="122">
        <f t="shared" si="36"/>
        <v>71768.843967436798</v>
      </c>
      <c r="E46" s="123">
        <f>+E3*0.0264</f>
        <v>29836.251456000002</v>
      </c>
      <c r="F46" s="124">
        <f>$E46*(1+F$93)</f>
        <v>30432.976485120002</v>
      </c>
      <c r="G46" s="125">
        <f>$F46*(1+G$93)</f>
        <v>31041.636014822401</v>
      </c>
      <c r="H46" s="123">
        <f>+H3*0.0264</f>
        <v>10190.247936</v>
      </c>
      <c r="I46" s="124">
        <f>$H46*(1+I$93)</f>
        <v>10394.05289472</v>
      </c>
      <c r="J46" s="125">
        <f>$I46*(1+J$93)</f>
        <v>10601.933952614399</v>
      </c>
      <c r="K46" s="123">
        <v>21941</v>
      </c>
      <c r="L46" s="124">
        <f>($K46)*(1+L$93)</f>
        <v>22379.82</v>
      </c>
      <c r="M46" s="125">
        <f>($L46)*(1+M$93)</f>
        <v>22827.416400000002</v>
      </c>
      <c r="N46" s="123">
        <f>+N3*0.0264</f>
        <v>7297.8576000000003</v>
      </c>
      <c r="O46" s="124"/>
      <c r="P46" s="125"/>
    </row>
    <row r="47" spans="1:16" x14ac:dyDescent="0.25">
      <c r="A47" s="173" t="s">
        <v>116</v>
      </c>
      <c r="B47" s="122">
        <f t="shared" si="36"/>
        <v>43383</v>
      </c>
      <c r="C47" s="122">
        <f t="shared" si="36"/>
        <v>44250.66</v>
      </c>
      <c r="D47" s="122">
        <f t="shared" si="36"/>
        <v>45135.673200000005</v>
      </c>
      <c r="E47" s="123">
        <v>14000</v>
      </c>
      <c r="F47" s="124">
        <f>$E47*(1+F$93)</f>
        <v>14280</v>
      </c>
      <c r="G47" s="125">
        <f>$F47*(1+G$93)</f>
        <v>14565.6</v>
      </c>
      <c r="H47" s="123">
        <v>14000</v>
      </c>
      <c r="I47" s="124">
        <f>$H47*(1+I$93)</f>
        <v>14280</v>
      </c>
      <c r="J47" s="125">
        <f>$I47*(1+J$93)</f>
        <v>14565.6</v>
      </c>
      <c r="K47" s="123">
        <v>15383</v>
      </c>
      <c r="L47" s="124">
        <f>($K47)*(1+L$93)</f>
        <v>15690.66</v>
      </c>
      <c r="M47" s="125">
        <f>($L47)*(1+M$93)</f>
        <v>16004.4732</v>
      </c>
      <c r="N47" s="123"/>
      <c r="O47" s="124"/>
      <c r="P47" s="125"/>
    </row>
    <row r="48" spans="1:16" x14ac:dyDescent="0.25">
      <c r="A48" s="121" t="s">
        <v>117</v>
      </c>
      <c r="B48" s="122">
        <f t="shared" si="36"/>
        <v>10000</v>
      </c>
      <c r="C48" s="122">
        <f t="shared" si="36"/>
        <v>10200</v>
      </c>
      <c r="D48" s="122">
        <f t="shared" si="36"/>
        <v>10404</v>
      </c>
      <c r="E48" s="123">
        <v>5000</v>
      </c>
      <c r="F48" s="124">
        <f>$E48*(1+F$93)</f>
        <v>5100</v>
      </c>
      <c r="G48" s="125">
        <f>$F48*(1+G$93)</f>
        <v>5202</v>
      </c>
      <c r="H48" s="123">
        <v>5000</v>
      </c>
      <c r="I48" s="124">
        <f>$H48*(1+I$93)</f>
        <v>5100</v>
      </c>
      <c r="J48" s="125">
        <f>$I48*(1+J$93)</f>
        <v>5202</v>
      </c>
      <c r="K48" s="123">
        <v>0</v>
      </c>
      <c r="L48" s="124">
        <f>($K48)*(1+L$93)</f>
        <v>0</v>
      </c>
      <c r="M48" s="125">
        <f>($L48)*(1+M$93)</f>
        <v>0</v>
      </c>
      <c r="N48" s="123"/>
      <c r="O48" s="124"/>
      <c r="P48" s="125"/>
    </row>
    <row r="49" spans="1:16" x14ac:dyDescent="0.25">
      <c r="A49" s="121" t="s">
        <v>118</v>
      </c>
      <c r="B49" s="122">
        <f t="shared" si="36"/>
        <v>40000</v>
      </c>
      <c r="C49" s="122">
        <f t="shared" si="36"/>
        <v>40800</v>
      </c>
      <c r="D49" s="122">
        <f t="shared" si="36"/>
        <v>41616</v>
      </c>
      <c r="E49" s="123">
        <v>15000</v>
      </c>
      <c r="F49" s="124">
        <f>$E49*(1+F$93)</f>
        <v>15300</v>
      </c>
      <c r="G49" s="125">
        <f>$F49*(1+G$93)</f>
        <v>15606</v>
      </c>
      <c r="H49" s="123">
        <v>15000</v>
      </c>
      <c r="I49" s="124">
        <f>$H49*(1+I$93)</f>
        <v>15300</v>
      </c>
      <c r="J49" s="125">
        <f>$I49*(1+J$93)</f>
        <v>15606</v>
      </c>
      <c r="K49" s="123">
        <v>10000</v>
      </c>
      <c r="L49" s="124">
        <f>($K49)*(1+L$93)</f>
        <v>10200</v>
      </c>
      <c r="M49" s="125">
        <f>($L49)*(1+M$93)</f>
        <v>10404</v>
      </c>
      <c r="N49" s="123"/>
      <c r="O49" s="124"/>
      <c r="P49" s="125"/>
    </row>
    <row r="50" spans="1:16" x14ac:dyDescent="0.25">
      <c r="A50" s="121" t="s">
        <v>70</v>
      </c>
      <c r="B50" s="122">
        <f t="shared" si="36"/>
        <v>103238</v>
      </c>
      <c r="C50" s="122">
        <f t="shared" si="36"/>
        <v>105302.76000000001</v>
      </c>
      <c r="D50" s="122">
        <f t="shared" si="36"/>
        <v>107408.81520000001</v>
      </c>
      <c r="E50" s="123">
        <v>52000</v>
      </c>
      <c r="F50" s="124">
        <f>$E50*(1+F$93)</f>
        <v>53040</v>
      </c>
      <c r="G50" s="125">
        <f>$F50*(1+G$93)</f>
        <v>54100.800000000003</v>
      </c>
      <c r="H50" s="123">
        <v>26000</v>
      </c>
      <c r="I50" s="124">
        <f>$H50*(1+I$93)</f>
        <v>26520</v>
      </c>
      <c r="J50" s="125">
        <f>$I50*(1+J$93)</f>
        <v>27050.400000000001</v>
      </c>
      <c r="K50" s="123">
        <v>25238</v>
      </c>
      <c r="L50" s="124">
        <f>($K50)*(1+L$93)</f>
        <v>25742.760000000002</v>
      </c>
      <c r="M50" s="125">
        <f>($L50)*(1+M$93)</f>
        <v>26257.615200000004</v>
      </c>
      <c r="N50" s="123"/>
      <c r="O50" s="124"/>
      <c r="P50" s="125"/>
    </row>
    <row r="51" spans="1:16" ht="15.75" thickBot="1" x14ac:dyDescent="0.3">
      <c r="A51" s="174" t="s">
        <v>185</v>
      </c>
      <c r="B51" s="175">
        <f>SUM(B46:B50)</f>
        <v>265886.35699200002</v>
      </c>
      <c r="C51" s="175">
        <f>SUM(C46:C50)</f>
        <v>271058.12697983999</v>
      </c>
      <c r="D51" s="175">
        <f>SUM(D46:D50)</f>
        <v>276333.33236743684</v>
      </c>
      <c r="E51" s="176">
        <f>SUM(E46:E50)</f>
        <v>115836.251456</v>
      </c>
      <c r="F51" s="177">
        <f t="shared" ref="F51:G51" si="37">SUM(F46:F50)</f>
        <v>118152.97648512</v>
      </c>
      <c r="G51" s="178">
        <f t="shared" si="37"/>
        <v>120516.03601482241</v>
      </c>
      <c r="H51" s="176">
        <f>SUM(H46:H50)</f>
        <v>70190.247936</v>
      </c>
      <c r="I51" s="177">
        <f t="shared" ref="I51:J51" si="38">SUM(I46:I50)</f>
        <v>71594.052894719993</v>
      </c>
      <c r="J51" s="178">
        <f t="shared" si="38"/>
        <v>73025.933952614403</v>
      </c>
      <c r="K51" s="176">
        <f>SUM(K46:K50)</f>
        <v>72562</v>
      </c>
      <c r="L51" s="177">
        <f t="shared" ref="L51:M51" si="39">SUM(L46:L50)</f>
        <v>74013.239999999991</v>
      </c>
      <c r="M51" s="178">
        <f t="shared" si="39"/>
        <v>75493.50480000001</v>
      </c>
      <c r="N51" s="176">
        <f>SUM(N46:N50)</f>
        <v>7297.8576000000003</v>
      </c>
      <c r="O51" s="177">
        <f t="shared" ref="O51:P51" si="40">SUM(O46:O50)</f>
        <v>0</v>
      </c>
      <c r="P51" s="178">
        <f t="shared" si="40"/>
        <v>0</v>
      </c>
    </row>
    <row r="52" spans="1:16" ht="15.75" thickBot="1" x14ac:dyDescent="0.3">
      <c r="A52" s="179" t="s">
        <v>186</v>
      </c>
      <c r="B52" s="180">
        <f t="shared" ref="B52:P52" si="41">+B34+B44+B51</f>
        <v>2550793.5602414878</v>
      </c>
      <c r="C52" s="180">
        <f t="shared" si="41"/>
        <v>2683546.5775593077</v>
      </c>
      <c r="D52" s="180">
        <f t="shared" si="41"/>
        <v>2766206.6801700834</v>
      </c>
      <c r="E52" s="181">
        <f t="shared" si="41"/>
        <v>999404.25145600003</v>
      </c>
      <c r="F52" s="182">
        <f t="shared" si="41"/>
        <v>1058230.09648512</v>
      </c>
      <c r="G52" s="183">
        <f t="shared" si="41"/>
        <v>1097687.0408148225</v>
      </c>
      <c r="H52" s="181">
        <f t="shared" si="41"/>
        <v>416194.43118548801</v>
      </c>
      <c r="I52" s="182">
        <f t="shared" si="41"/>
        <v>431600.32347418752</v>
      </c>
      <c r="J52" s="183">
        <f t="shared" si="41"/>
        <v>434037.09413208195</v>
      </c>
      <c r="K52" s="181">
        <f t="shared" si="41"/>
        <v>739492</v>
      </c>
      <c r="L52" s="182">
        <f t="shared" si="41"/>
        <v>801995.36</v>
      </c>
      <c r="M52" s="183">
        <f t="shared" si="41"/>
        <v>832047.90960000013</v>
      </c>
      <c r="N52" s="181">
        <f t="shared" si="41"/>
        <v>275702.87760000001</v>
      </c>
      <c r="O52" s="182">
        <f t="shared" si="41"/>
        <v>45000</v>
      </c>
      <c r="P52" s="183">
        <f t="shared" si="41"/>
        <v>75000</v>
      </c>
    </row>
    <row r="53" spans="1:16" x14ac:dyDescent="0.25">
      <c r="A53" s="184" t="s">
        <v>120</v>
      </c>
      <c r="B53" s="185">
        <f>(+B52)/B3</f>
        <v>0.93457972327426364</v>
      </c>
      <c r="C53" s="185">
        <f t="shared" ref="C53:P53" si="42">(+C51+C44+C34)/C3</f>
        <v>0.9832188135254426</v>
      </c>
      <c r="D53" s="185">
        <f t="shared" si="42"/>
        <v>1.0135044693417006</v>
      </c>
      <c r="E53" s="186">
        <f t="shared" si="42"/>
        <v>0.88430251626440781</v>
      </c>
      <c r="F53" s="187">
        <f t="shared" si="42"/>
        <v>0.93635336826433158</v>
      </c>
      <c r="G53" s="188">
        <f t="shared" si="42"/>
        <v>0.97126604259409133</v>
      </c>
      <c r="H53" s="186">
        <f t="shared" si="42"/>
        <v>1.0782400047873462</v>
      </c>
      <c r="I53" s="189">
        <f t="shared" si="42"/>
        <v>1.1181522384224893</v>
      </c>
      <c r="J53" s="188">
        <f t="shared" si="42"/>
        <v>1.1244652099784751</v>
      </c>
      <c r="K53" s="186">
        <f t="shared" si="42"/>
        <v>0.90539804275190117</v>
      </c>
      <c r="L53" s="187">
        <f t="shared" si="42"/>
        <v>0.98192411715083638</v>
      </c>
      <c r="M53" s="188">
        <f t="shared" si="42"/>
        <v>1.018718997403151</v>
      </c>
      <c r="N53" s="186">
        <f t="shared" si="42"/>
        <v>0.99735516470477581</v>
      </c>
      <c r="O53" s="187">
        <f t="shared" si="42"/>
        <v>1</v>
      </c>
      <c r="P53" s="188">
        <f t="shared" si="42"/>
        <v>1</v>
      </c>
    </row>
    <row r="54" spans="1:16" x14ac:dyDescent="0.25">
      <c r="A54" s="190" t="s">
        <v>187</v>
      </c>
      <c r="B54" s="191"/>
      <c r="C54" s="191"/>
      <c r="D54" s="191"/>
      <c r="E54" s="192"/>
      <c r="F54" s="193"/>
      <c r="G54" s="194"/>
      <c r="H54" s="192"/>
      <c r="I54" s="193"/>
      <c r="J54" s="194"/>
      <c r="K54" s="192"/>
      <c r="L54" s="193"/>
      <c r="M54" s="194"/>
      <c r="N54" s="192"/>
      <c r="O54" s="193"/>
      <c r="P54" s="194"/>
    </row>
    <row r="55" spans="1:16" x14ac:dyDescent="0.25">
      <c r="A55" s="162" t="s">
        <v>188</v>
      </c>
      <c r="B55" s="122">
        <f t="shared" ref="B55:D55" si="43">SUM(E55+H55+K55+$N55+$O55+$P55)</f>
        <v>131000</v>
      </c>
      <c r="C55" s="122">
        <f t="shared" si="43"/>
        <v>128320</v>
      </c>
      <c r="D55" s="122">
        <f t="shared" si="43"/>
        <v>130686.39999999999</v>
      </c>
      <c r="E55" s="123">
        <v>71000</v>
      </c>
      <c r="F55" s="124">
        <f>$E55*(1+F$93)</f>
        <v>72420</v>
      </c>
      <c r="G55" s="125">
        <f>$F55*(1+G$93)</f>
        <v>73868.399999999994</v>
      </c>
      <c r="H55" s="133">
        <v>15000</v>
      </c>
      <c r="I55" s="124">
        <v>10000</v>
      </c>
      <c r="J55" s="125">
        <v>10000</v>
      </c>
      <c r="K55" s="123">
        <v>45000</v>
      </c>
      <c r="L55" s="124">
        <f>($K55)*(1+L$93)</f>
        <v>45900</v>
      </c>
      <c r="M55" s="125">
        <f>($L55)*(1+M$93)</f>
        <v>46818</v>
      </c>
      <c r="N55" s="123"/>
      <c r="O55" s="124">
        <v>0</v>
      </c>
      <c r="P55" s="128"/>
    </row>
    <row r="56" spans="1:16" x14ac:dyDescent="0.25">
      <c r="A56" s="138"/>
      <c r="B56" s="122"/>
      <c r="C56" s="122"/>
      <c r="D56" s="122"/>
      <c r="E56" s="123"/>
      <c r="F56" s="124"/>
      <c r="G56" s="125"/>
      <c r="H56" s="133"/>
      <c r="I56" s="124"/>
      <c r="J56" s="125"/>
      <c r="K56" s="123"/>
      <c r="L56" s="124"/>
      <c r="M56" s="125"/>
      <c r="N56" s="123"/>
      <c r="O56" s="124"/>
      <c r="P56" s="128"/>
    </row>
    <row r="57" spans="1:16" ht="15.75" thickBot="1" x14ac:dyDescent="0.3">
      <c r="A57" s="195" t="s">
        <v>189</v>
      </c>
      <c r="B57" s="196">
        <f>SUM(B55:B56)</f>
        <v>131000</v>
      </c>
      <c r="C57" s="196">
        <f>SUM(C55:C56)</f>
        <v>128320</v>
      </c>
      <c r="D57" s="196">
        <f>SUM(D55:D56)</f>
        <v>130686.39999999999</v>
      </c>
      <c r="E57" s="197">
        <f t="shared" ref="E57:P57" si="44">SUM(E55:E56)</f>
        <v>71000</v>
      </c>
      <c r="F57" s="198">
        <f t="shared" si="44"/>
        <v>72420</v>
      </c>
      <c r="G57" s="199">
        <f t="shared" si="44"/>
        <v>73868.399999999994</v>
      </c>
      <c r="H57" s="197">
        <f t="shared" si="44"/>
        <v>15000</v>
      </c>
      <c r="I57" s="198">
        <f t="shared" si="44"/>
        <v>10000</v>
      </c>
      <c r="J57" s="199">
        <f t="shared" si="44"/>
        <v>10000</v>
      </c>
      <c r="K57" s="197">
        <f t="shared" si="44"/>
        <v>45000</v>
      </c>
      <c r="L57" s="198">
        <f t="shared" si="44"/>
        <v>45900</v>
      </c>
      <c r="M57" s="199">
        <f t="shared" si="44"/>
        <v>46818</v>
      </c>
      <c r="N57" s="197">
        <f>SUM(N55:N56)</f>
        <v>0</v>
      </c>
      <c r="O57" s="198">
        <f t="shared" si="44"/>
        <v>0</v>
      </c>
      <c r="P57" s="199">
        <f t="shared" si="44"/>
        <v>0</v>
      </c>
    </row>
    <row r="58" spans="1:16" ht="21" customHeight="1" x14ac:dyDescent="0.25">
      <c r="A58" s="200" t="s">
        <v>121</v>
      </c>
      <c r="B58" s="201"/>
      <c r="C58" s="201"/>
      <c r="D58" s="201"/>
      <c r="E58" s="202"/>
      <c r="F58" s="203"/>
      <c r="G58" s="204"/>
      <c r="H58" s="202"/>
      <c r="I58" s="203"/>
      <c r="J58" s="204"/>
      <c r="K58" s="202"/>
      <c r="L58" s="203"/>
      <c r="M58" s="204"/>
      <c r="N58" s="202"/>
      <c r="O58" s="203"/>
      <c r="P58" s="204"/>
    </row>
    <row r="59" spans="1:16" x14ac:dyDescent="0.25">
      <c r="A59" s="173" t="s">
        <v>124</v>
      </c>
      <c r="B59" s="161">
        <f t="shared" ref="B59:D78" si="45">SUM(E59+H59+K59+$N59+$O59+$P59)</f>
        <v>5000</v>
      </c>
      <c r="C59" s="161">
        <f t="shared" si="45"/>
        <v>5100</v>
      </c>
      <c r="D59" s="161">
        <f t="shared" si="45"/>
        <v>5140.8</v>
      </c>
      <c r="E59" s="123">
        <v>3000</v>
      </c>
      <c r="F59" s="124">
        <f t="shared" ref="F59:G75" si="46">$E59*(1+F$93)</f>
        <v>3060</v>
      </c>
      <c r="G59" s="125">
        <f t="shared" si="46"/>
        <v>3060</v>
      </c>
      <c r="H59" s="123">
        <v>0</v>
      </c>
      <c r="I59" s="124">
        <f t="shared" ref="I59:J75" si="47">$H59*(1+I$93)</f>
        <v>0</v>
      </c>
      <c r="J59" s="125">
        <f t="shared" si="47"/>
        <v>0</v>
      </c>
      <c r="K59" s="123">
        <v>2000</v>
      </c>
      <c r="L59" s="124">
        <f t="shared" ref="L59:L75" si="48">($K59)*(1+L$93)</f>
        <v>2040</v>
      </c>
      <c r="M59" s="125">
        <f>($L59)*(1+M$93)</f>
        <v>2080.8000000000002</v>
      </c>
      <c r="N59" s="123"/>
      <c r="O59" s="124"/>
      <c r="P59" s="125"/>
    </row>
    <row r="60" spans="1:16" x14ac:dyDescent="0.25">
      <c r="A60" s="173" t="s">
        <v>14</v>
      </c>
      <c r="B60" s="161">
        <f t="shared" si="45"/>
        <v>5000</v>
      </c>
      <c r="C60" s="161">
        <f t="shared" si="45"/>
        <v>5100</v>
      </c>
      <c r="D60" s="161">
        <f t="shared" si="45"/>
        <v>5140.8</v>
      </c>
      <c r="E60" s="123">
        <v>1750</v>
      </c>
      <c r="F60" s="124">
        <f t="shared" si="46"/>
        <v>1785</v>
      </c>
      <c r="G60" s="125">
        <f t="shared" si="46"/>
        <v>1785</v>
      </c>
      <c r="H60" s="123">
        <v>1250</v>
      </c>
      <c r="I60" s="124">
        <f t="shared" si="47"/>
        <v>1275</v>
      </c>
      <c r="J60" s="125">
        <f t="shared" si="47"/>
        <v>1275</v>
      </c>
      <c r="K60" s="123">
        <v>2000</v>
      </c>
      <c r="L60" s="124">
        <f t="shared" si="48"/>
        <v>2040</v>
      </c>
      <c r="M60" s="125">
        <f>($L60)*(1+M$93)</f>
        <v>2080.8000000000002</v>
      </c>
      <c r="N60" s="123"/>
      <c r="O60" s="124"/>
      <c r="P60" s="125"/>
    </row>
    <row r="61" spans="1:16" x14ac:dyDescent="0.25">
      <c r="A61" s="173" t="s">
        <v>125</v>
      </c>
      <c r="B61" s="161">
        <f t="shared" si="45"/>
        <v>600</v>
      </c>
      <c r="C61" s="161">
        <f t="shared" si="45"/>
        <v>612</v>
      </c>
      <c r="D61" s="161">
        <f t="shared" si="45"/>
        <v>616.08000000000004</v>
      </c>
      <c r="E61" s="123">
        <v>200</v>
      </c>
      <c r="F61" s="124">
        <f t="shared" si="46"/>
        <v>204</v>
      </c>
      <c r="G61" s="125">
        <f t="shared" si="46"/>
        <v>204</v>
      </c>
      <c r="H61" s="123">
        <v>200</v>
      </c>
      <c r="I61" s="124">
        <f t="shared" si="47"/>
        <v>204</v>
      </c>
      <c r="J61" s="125">
        <f t="shared" si="47"/>
        <v>204</v>
      </c>
      <c r="K61" s="123">
        <v>200</v>
      </c>
      <c r="L61" s="124">
        <f t="shared" si="48"/>
        <v>204</v>
      </c>
      <c r="M61" s="125">
        <f t="shared" ref="M61:M78" si="49">($L61)*(1+M$93)</f>
        <v>208.08</v>
      </c>
      <c r="N61" s="123"/>
      <c r="O61" s="124"/>
      <c r="P61" s="125"/>
    </row>
    <row r="62" spans="1:16" x14ac:dyDescent="0.25">
      <c r="A62" s="121" t="s">
        <v>126</v>
      </c>
      <c r="B62" s="161">
        <f t="shared" si="45"/>
        <v>1500</v>
      </c>
      <c r="C62" s="161">
        <f t="shared" si="45"/>
        <v>1530</v>
      </c>
      <c r="D62" s="161">
        <f t="shared" si="45"/>
        <v>1540.2</v>
      </c>
      <c r="E62" s="123">
        <v>500</v>
      </c>
      <c r="F62" s="124">
        <f t="shared" si="46"/>
        <v>510</v>
      </c>
      <c r="G62" s="125">
        <f t="shared" si="46"/>
        <v>510</v>
      </c>
      <c r="H62" s="123">
        <v>500</v>
      </c>
      <c r="I62" s="124">
        <f t="shared" si="47"/>
        <v>510</v>
      </c>
      <c r="J62" s="125">
        <f t="shared" si="47"/>
        <v>510</v>
      </c>
      <c r="K62" s="123">
        <v>500</v>
      </c>
      <c r="L62" s="124">
        <f t="shared" si="48"/>
        <v>510</v>
      </c>
      <c r="M62" s="125">
        <f t="shared" si="49"/>
        <v>520.20000000000005</v>
      </c>
      <c r="N62" s="123"/>
      <c r="O62" s="124"/>
      <c r="P62" s="125"/>
    </row>
    <row r="63" spans="1:16" x14ac:dyDescent="0.25">
      <c r="A63" s="173" t="s">
        <v>127</v>
      </c>
      <c r="B63" s="161">
        <f t="shared" si="45"/>
        <v>2000</v>
      </c>
      <c r="C63" s="161">
        <f t="shared" si="45"/>
        <v>2040</v>
      </c>
      <c r="D63" s="161">
        <f t="shared" si="45"/>
        <v>2040</v>
      </c>
      <c r="E63" s="123">
        <v>2000</v>
      </c>
      <c r="F63" s="124">
        <f t="shared" si="46"/>
        <v>2040</v>
      </c>
      <c r="G63" s="125">
        <f t="shared" si="46"/>
        <v>2040</v>
      </c>
      <c r="H63" s="133"/>
      <c r="I63" s="124">
        <f t="shared" si="47"/>
        <v>0</v>
      </c>
      <c r="J63" s="125">
        <f t="shared" si="47"/>
        <v>0</v>
      </c>
      <c r="K63" s="123"/>
      <c r="L63" s="124">
        <f t="shared" si="48"/>
        <v>0</v>
      </c>
      <c r="M63" s="125">
        <f t="shared" si="49"/>
        <v>0</v>
      </c>
      <c r="N63" s="123"/>
      <c r="O63" s="124"/>
      <c r="P63" s="128"/>
    </row>
    <row r="64" spans="1:16" x14ac:dyDescent="0.25">
      <c r="A64" s="121" t="s">
        <v>128</v>
      </c>
      <c r="B64" s="161">
        <f t="shared" si="45"/>
        <v>3500</v>
      </c>
      <c r="C64" s="161">
        <f t="shared" si="45"/>
        <v>3570</v>
      </c>
      <c r="D64" s="161">
        <f t="shared" si="45"/>
        <v>3570</v>
      </c>
      <c r="E64" s="123">
        <v>3500</v>
      </c>
      <c r="F64" s="124">
        <f t="shared" si="46"/>
        <v>3570</v>
      </c>
      <c r="G64" s="125">
        <f t="shared" si="46"/>
        <v>3570</v>
      </c>
      <c r="H64" s="133"/>
      <c r="I64" s="124">
        <f t="shared" si="47"/>
        <v>0</v>
      </c>
      <c r="J64" s="125">
        <f t="shared" si="47"/>
        <v>0</v>
      </c>
      <c r="K64" s="123"/>
      <c r="L64" s="124">
        <f t="shared" si="48"/>
        <v>0</v>
      </c>
      <c r="M64" s="125">
        <f t="shared" si="49"/>
        <v>0</v>
      </c>
      <c r="N64" s="123"/>
      <c r="O64" s="124"/>
      <c r="P64" s="128"/>
    </row>
    <row r="65" spans="1:18" x14ac:dyDescent="0.25">
      <c r="A65" s="173" t="s">
        <v>129</v>
      </c>
      <c r="B65" s="161">
        <f t="shared" si="45"/>
        <v>500</v>
      </c>
      <c r="C65" s="161">
        <f t="shared" si="45"/>
        <v>510</v>
      </c>
      <c r="D65" s="161">
        <f t="shared" si="45"/>
        <v>510</v>
      </c>
      <c r="E65" s="123">
        <v>500</v>
      </c>
      <c r="F65" s="124">
        <f t="shared" si="46"/>
        <v>510</v>
      </c>
      <c r="G65" s="125">
        <f t="shared" si="46"/>
        <v>510</v>
      </c>
      <c r="H65" s="133"/>
      <c r="I65" s="124">
        <f t="shared" si="47"/>
        <v>0</v>
      </c>
      <c r="J65" s="125">
        <f t="shared" si="47"/>
        <v>0</v>
      </c>
      <c r="K65" s="123"/>
      <c r="L65" s="124">
        <f t="shared" si="48"/>
        <v>0</v>
      </c>
      <c r="M65" s="125">
        <f t="shared" si="49"/>
        <v>0</v>
      </c>
      <c r="N65" s="123"/>
      <c r="O65" s="124"/>
      <c r="P65" s="128"/>
    </row>
    <row r="66" spans="1:18" x14ac:dyDescent="0.25">
      <c r="A66" s="173" t="s">
        <v>16</v>
      </c>
      <c r="B66" s="161">
        <f t="shared" si="45"/>
        <v>3000</v>
      </c>
      <c r="C66" s="161">
        <f t="shared" si="45"/>
        <v>3060</v>
      </c>
      <c r="D66" s="161">
        <f t="shared" si="45"/>
        <v>3080.4</v>
      </c>
      <c r="E66" s="123">
        <v>1000</v>
      </c>
      <c r="F66" s="124">
        <f t="shared" si="46"/>
        <v>1020</v>
      </c>
      <c r="G66" s="125">
        <f t="shared" si="46"/>
        <v>1020</v>
      </c>
      <c r="H66" s="133">
        <v>1000</v>
      </c>
      <c r="I66" s="124">
        <f t="shared" si="47"/>
        <v>1020</v>
      </c>
      <c r="J66" s="125">
        <f t="shared" si="47"/>
        <v>1020</v>
      </c>
      <c r="K66" s="123">
        <v>1000</v>
      </c>
      <c r="L66" s="124">
        <f t="shared" si="48"/>
        <v>1020</v>
      </c>
      <c r="M66" s="125">
        <f t="shared" si="49"/>
        <v>1040.4000000000001</v>
      </c>
      <c r="N66" s="123"/>
      <c r="O66" s="124"/>
      <c r="P66" s="128"/>
    </row>
    <row r="67" spans="1:18" x14ac:dyDescent="0.25">
      <c r="A67" s="173" t="s">
        <v>17</v>
      </c>
      <c r="B67" s="161">
        <f t="shared" si="45"/>
        <v>10000</v>
      </c>
      <c r="C67" s="161">
        <f t="shared" si="45"/>
        <v>10200</v>
      </c>
      <c r="D67" s="161">
        <f t="shared" si="45"/>
        <v>10200</v>
      </c>
      <c r="E67" s="123">
        <v>10000</v>
      </c>
      <c r="F67" s="124">
        <f t="shared" si="46"/>
        <v>10200</v>
      </c>
      <c r="G67" s="125">
        <f t="shared" si="46"/>
        <v>10200</v>
      </c>
      <c r="H67" s="133"/>
      <c r="I67" s="124">
        <f t="shared" si="47"/>
        <v>0</v>
      </c>
      <c r="J67" s="125">
        <f t="shared" si="47"/>
        <v>0</v>
      </c>
      <c r="K67" s="123"/>
      <c r="L67" s="124">
        <f t="shared" si="48"/>
        <v>0</v>
      </c>
      <c r="M67" s="125">
        <f t="shared" si="49"/>
        <v>0</v>
      </c>
      <c r="N67" s="123"/>
      <c r="O67" s="124"/>
      <c r="P67" s="128"/>
    </row>
    <row r="68" spans="1:18" x14ac:dyDescent="0.25">
      <c r="A68" s="173" t="s">
        <v>190</v>
      </c>
      <c r="B68" s="161">
        <f t="shared" si="45"/>
        <v>0</v>
      </c>
      <c r="C68" s="161">
        <f t="shared" si="45"/>
        <v>0</v>
      </c>
      <c r="D68" s="161">
        <f t="shared" si="45"/>
        <v>0</v>
      </c>
      <c r="E68" s="123"/>
      <c r="F68" s="124">
        <f t="shared" si="46"/>
        <v>0</v>
      </c>
      <c r="G68" s="125">
        <f t="shared" si="46"/>
        <v>0</v>
      </c>
      <c r="H68" s="133"/>
      <c r="I68" s="124">
        <f t="shared" si="47"/>
        <v>0</v>
      </c>
      <c r="J68" s="125">
        <f t="shared" si="47"/>
        <v>0</v>
      </c>
      <c r="K68" s="123"/>
      <c r="L68" s="124">
        <f t="shared" si="48"/>
        <v>0</v>
      </c>
      <c r="M68" s="125">
        <f t="shared" si="49"/>
        <v>0</v>
      </c>
      <c r="N68" s="123"/>
      <c r="O68" s="124"/>
      <c r="P68" s="128"/>
    </row>
    <row r="69" spans="1:18" x14ac:dyDescent="0.25">
      <c r="A69" s="173" t="s">
        <v>130</v>
      </c>
      <c r="B69" s="161">
        <f t="shared" si="45"/>
        <v>0</v>
      </c>
      <c r="C69" s="161">
        <f t="shared" si="45"/>
        <v>0</v>
      </c>
      <c r="D69" s="161">
        <f t="shared" si="45"/>
        <v>0</v>
      </c>
      <c r="E69" s="123"/>
      <c r="F69" s="124">
        <f t="shared" si="46"/>
        <v>0</v>
      </c>
      <c r="G69" s="125">
        <f t="shared" si="46"/>
        <v>0</v>
      </c>
      <c r="H69" s="133"/>
      <c r="I69" s="124">
        <f t="shared" si="47"/>
        <v>0</v>
      </c>
      <c r="J69" s="125">
        <f t="shared" si="47"/>
        <v>0</v>
      </c>
      <c r="K69" s="123"/>
      <c r="L69" s="124">
        <f t="shared" si="48"/>
        <v>0</v>
      </c>
      <c r="M69" s="125">
        <f t="shared" si="49"/>
        <v>0</v>
      </c>
      <c r="N69" s="123"/>
      <c r="O69" s="124"/>
      <c r="P69" s="128"/>
      <c r="R69" s="247"/>
    </row>
    <row r="70" spans="1:18" x14ac:dyDescent="0.25">
      <c r="A70" s="173" t="s">
        <v>18</v>
      </c>
      <c r="B70" s="161">
        <f t="shared" si="45"/>
        <v>6000</v>
      </c>
      <c r="C70" s="161">
        <f t="shared" si="45"/>
        <v>6120</v>
      </c>
      <c r="D70" s="161">
        <f t="shared" si="45"/>
        <v>6160.8</v>
      </c>
      <c r="E70" s="123">
        <v>2000</v>
      </c>
      <c r="F70" s="124">
        <f t="shared" si="46"/>
        <v>2040</v>
      </c>
      <c r="G70" s="125">
        <f t="shared" si="46"/>
        <v>2040</v>
      </c>
      <c r="H70" s="133">
        <v>2000</v>
      </c>
      <c r="I70" s="124">
        <f t="shared" si="47"/>
        <v>2040</v>
      </c>
      <c r="J70" s="125">
        <f t="shared" si="47"/>
        <v>2040</v>
      </c>
      <c r="K70" s="123">
        <v>2000</v>
      </c>
      <c r="L70" s="124">
        <f t="shared" si="48"/>
        <v>2040</v>
      </c>
      <c r="M70" s="125">
        <f t="shared" si="49"/>
        <v>2080.8000000000002</v>
      </c>
      <c r="N70" s="123"/>
      <c r="O70" s="124"/>
      <c r="P70" s="128"/>
    </row>
    <row r="71" spans="1:18" x14ac:dyDescent="0.25">
      <c r="A71" s="173" t="s">
        <v>131</v>
      </c>
      <c r="B71" s="161">
        <f t="shared" si="45"/>
        <v>500</v>
      </c>
      <c r="C71" s="161">
        <f t="shared" si="45"/>
        <v>510</v>
      </c>
      <c r="D71" s="161">
        <f t="shared" si="45"/>
        <v>514.08000000000004</v>
      </c>
      <c r="E71" s="123">
        <v>300</v>
      </c>
      <c r="F71" s="124">
        <f t="shared" si="46"/>
        <v>306</v>
      </c>
      <c r="G71" s="125">
        <f t="shared" si="46"/>
        <v>306</v>
      </c>
      <c r="H71" s="133"/>
      <c r="I71" s="124">
        <f t="shared" si="47"/>
        <v>0</v>
      </c>
      <c r="J71" s="125">
        <f t="shared" si="47"/>
        <v>0</v>
      </c>
      <c r="K71" s="123">
        <v>200</v>
      </c>
      <c r="L71" s="124">
        <f t="shared" si="48"/>
        <v>204</v>
      </c>
      <c r="M71" s="125">
        <f t="shared" si="49"/>
        <v>208.08</v>
      </c>
      <c r="N71" s="123"/>
      <c r="O71" s="124"/>
      <c r="P71" s="128"/>
    </row>
    <row r="72" spans="1:18" x14ac:dyDescent="0.25">
      <c r="A72" s="173" t="s">
        <v>19</v>
      </c>
      <c r="B72" s="161">
        <f t="shared" si="45"/>
        <v>400</v>
      </c>
      <c r="C72" s="161">
        <f t="shared" si="45"/>
        <v>408</v>
      </c>
      <c r="D72" s="161">
        <f t="shared" si="45"/>
        <v>412.08000000000004</v>
      </c>
      <c r="E72" s="123">
        <v>200</v>
      </c>
      <c r="F72" s="124">
        <f t="shared" si="46"/>
        <v>204</v>
      </c>
      <c r="G72" s="125">
        <f t="shared" si="46"/>
        <v>204</v>
      </c>
      <c r="H72" s="133"/>
      <c r="I72" s="124">
        <f t="shared" si="47"/>
        <v>0</v>
      </c>
      <c r="J72" s="125">
        <f t="shared" si="47"/>
        <v>0</v>
      </c>
      <c r="K72" s="123">
        <v>200</v>
      </c>
      <c r="L72" s="124">
        <f t="shared" si="48"/>
        <v>204</v>
      </c>
      <c r="M72" s="125">
        <f t="shared" si="49"/>
        <v>208.08</v>
      </c>
      <c r="N72" s="123"/>
      <c r="O72" s="124"/>
      <c r="P72" s="128"/>
    </row>
    <row r="73" spans="1:18" x14ac:dyDescent="0.25">
      <c r="A73" s="121" t="s">
        <v>132</v>
      </c>
      <c r="B73" s="161">
        <f t="shared" si="45"/>
        <v>1000</v>
      </c>
      <c r="C73" s="161">
        <f t="shared" si="45"/>
        <v>1020</v>
      </c>
      <c r="D73" s="161">
        <f t="shared" si="45"/>
        <v>1020</v>
      </c>
      <c r="E73" s="123">
        <v>1000</v>
      </c>
      <c r="F73" s="124">
        <f t="shared" si="46"/>
        <v>1020</v>
      </c>
      <c r="G73" s="125">
        <f t="shared" si="46"/>
        <v>1020</v>
      </c>
      <c r="H73" s="133"/>
      <c r="I73" s="124">
        <f t="shared" si="47"/>
        <v>0</v>
      </c>
      <c r="J73" s="125">
        <f t="shared" si="47"/>
        <v>0</v>
      </c>
      <c r="K73" s="123"/>
      <c r="L73" s="124">
        <f t="shared" si="48"/>
        <v>0</v>
      </c>
      <c r="M73" s="125">
        <f t="shared" si="49"/>
        <v>0</v>
      </c>
      <c r="N73" s="123"/>
      <c r="O73" s="124"/>
      <c r="P73" s="128"/>
    </row>
    <row r="74" spans="1:18" x14ac:dyDescent="0.25">
      <c r="A74" s="173" t="s">
        <v>21</v>
      </c>
      <c r="B74" s="161">
        <f t="shared" si="45"/>
        <v>600</v>
      </c>
      <c r="C74" s="161">
        <f t="shared" si="45"/>
        <v>612</v>
      </c>
      <c r="D74" s="161">
        <f t="shared" si="45"/>
        <v>616.08000000000004</v>
      </c>
      <c r="E74" s="123">
        <v>400</v>
      </c>
      <c r="F74" s="124">
        <f t="shared" si="46"/>
        <v>408</v>
      </c>
      <c r="G74" s="125">
        <f t="shared" si="46"/>
        <v>408</v>
      </c>
      <c r="H74" s="133"/>
      <c r="I74" s="124">
        <f t="shared" si="47"/>
        <v>0</v>
      </c>
      <c r="J74" s="125">
        <f t="shared" si="47"/>
        <v>0</v>
      </c>
      <c r="K74" s="123">
        <v>200</v>
      </c>
      <c r="L74" s="124">
        <f t="shared" si="48"/>
        <v>204</v>
      </c>
      <c r="M74" s="125">
        <f t="shared" si="49"/>
        <v>208.08</v>
      </c>
      <c r="N74" s="123"/>
      <c r="O74" s="124"/>
      <c r="P74" s="128"/>
    </row>
    <row r="75" spans="1:18" x14ac:dyDescent="0.25">
      <c r="A75" s="173" t="s">
        <v>133</v>
      </c>
      <c r="B75" s="161">
        <f t="shared" si="45"/>
        <v>0</v>
      </c>
      <c r="C75" s="161">
        <f t="shared" si="45"/>
        <v>0</v>
      </c>
      <c r="D75" s="161">
        <f t="shared" si="45"/>
        <v>0</v>
      </c>
      <c r="E75" s="123"/>
      <c r="F75" s="124">
        <f t="shared" si="46"/>
        <v>0</v>
      </c>
      <c r="G75" s="125">
        <f t="shared" si="46"/>
        <v>0</v>
      </c>
      <c r="H75" s="133"/>
      <c r="I75" s="124">
        <f t="shared" si="47"/>
        <v>0</v>
      </c>
      <c r="J75" s="125">
        <f t="shared" si="47"/>
        <v>0</v>
      </c>
      <c r="K75" s="123"/>
      <c r="L75" s="124">
        <f t="shared" si="48"/>
        <v>0</v>
      </c>
      <c r="M75" s="125">
        <f t="shared" si="49"/>
        <v>0</v>
      </c>
      <c r="N75" s="123"/>
      <c r="O75" s="124"/>
      <c r="P75" s="128"/>
    </row>
    <row r="76" spans="1:18" x14ac:dyDescent="0.25">
      <c r="A76" s="173" t="s">
        <v>22</v>
      </c>
      <c r="B76" s="161">
        <f t="shared" si="45"/>
        <v>25000</v>
      </c>
      <c r="C76" s="161">
        <f t="shared" si="45"/>
        <v>13160</v>
      </c>
      <c r="D76" s="161">
        <f t="shared" si="45"/>
        <v>13323.2</v>
      </c>
      <c r="E76" s="123">
        <v>12000</v>
      </c>
      <c r="F76" s="124">
        <v>4000</v>
      </c>
      <c r="G76" s="125">
        <v>4000</v>
      </c>
      <c r="H76" s="133">
        <v>5000</v>
      </c>
      <c r="I76" s="124">
        <v>1000</v>
      </c>
      <c r="J76" s="125">
        <v>1000</v>
      </c>
      <c r="K76" s="123">
        <v>8000</v>
      </c>
      <c r="L76" s="124">
        <f t="shared" ref="L76" si="50">($K76)*(1+L$93)</f>
        <v>8160</v>
      </c>
      <c r="M76" s="125">
        <f t="shared" si="49"/>
        <v>8323.2000000000007</v>
      </c>
      <c r="N76" s="123"/>
      <c r="O76" s="124"/>
      <c r="P76" s="128"/>
    </row>
    <row r="77" spans="1:18" x14ac:dyDescent="0.25">
      <c r="A77" s="121" t="s">
        <v>191</v>
      </c>
      <c r="B77" s="161">
        <f t="shared" si="45"/>
        <v>0</v>
      </c>
      <c r="C77" s="161">
        <f t="shared" si="45"/>
        <v>0</v>
      </c>
      <c r="D77" s="161">
        <f t="shared" si="45"/>
        <v>0</v>
      </c>
      <c r="E77" s="123"/>
      <c r="F77" s="124">
        <f>$E77*(1+F$93)</f>
        <v>0</v>
      </c>
      <c r="G77" s="125">
        <f>$E77*(1+G$93)</f>
        <v>0</v>
      </c>
      <c r="H77" s="133"/>
      <c r="I77" s="124">
        <f>$H77*(1+I$93)</f>
        <v>0</v>
      </c>
      <c r="J77" s="125">
        <f>$H77*(1+J$93)</f>
        <v>0</v>
      </c>
      <c r="K77" s="123"/>
      <c r="L77" s="124"/>
      <c r="M77" s="125">
        <f t="shared" si="49"/>
        <v>0</v>
      </c>
      <c r="N77" s="123"/>
      <c r="O77" s="124"/>
      <c r="P77" s="128"/>
    </row>
    <row r="78" spans="1:18" x14ac:dyDescent="0.25">
      <c r="A78" s="173" t="s">
        <v>112</v>
      </c>
      <c r="B78" s="161">
        <f t="shared" si="45"/>
        <v>10000</v>
      </c>
      <c r="C78" s="161">
        <f t="shared" si="45"/>
        <v>10200</v>
      </c>
      <c r="D78" s="161">
        <f t="shared" si="45"/>
        <v>10281.6</v>
      </c>
      <c r="E78" s="123">
        <v>5000</v>
      </c>
      <c r="F78" s="124">
        <f>$E78*(1+F$93)</f>
        <v>5100</v>
      </c>
      <c r="G78" s="125">
        <f>$E78*(1+G$93)</f>
        <v>5100</v>
      </c>
      <c r="H78" s="133">
        <v>1000</v>
      </c>
      <c r="I78" s="124">
        <f>$H78*(1+I$93)</f>
        <v>1020</v>
      </c>
      <c r="J78" s="125">
        <f>$H78*(1+J$93)</f>
        <v>1020</v>
      </c>
      <c r="K78" s="123">
        <v>4000</v>
      </c>
      <c r="L78" s="124">
        <f>($K78)*(1+L$93)</f>
        <v>4080</v>
      </c>
      <c r="M78" s="248">
        <f t="shared" si="49"/>
        <v>4161.6000000000004</v>
      </c>
      <c r="N78" s="123"/>
      <c r="O78" s="124"/>
      <c r="P78" s="128"/>
    </row>
    <row r="79" spans="1:18" ht="15.75" thickBot="1" x14ac:dyDescent="0.3">
      <c r="A79" s="205" t="s">
        <v>192</v>
      </c>
      <c r="B79" s="206">
        <f t="shared" ref="B79:P79" si="51">SUM(B59:B78)</f>
        <v>74600</v>
      </c>
      <c r="C79" s="206">
        <f t="shared" si="51"/>
        <v>63752</v>
      </c>
      <c r="D79" s="206">
        <f t="shared" si="51"/>
        <v>64166.12</v>
      </c>
      <c r="E79" s="207">
        <f t="shared" si="51"/>
        <v>43350</v>
      </c>
      <c r="F79" s="208">
        <f t="shared" si="51"/>
        <v>35977</v>
      </c>
      <c r="G79" s="209">
        <f t="shared" si="51"/>
        <v>35977</v>
      </c>
      <c r="H79" s="207">
        <f t="shared" si="51"/>
        <v>10950</v>
      </c>
      <c r="I79" s="208">
        <f t="shared" si="51"/>
        <v>7069</v>
      </c>
      <c r="J79" s="209">
        <f t="shared" si="51"/>
        <v>7069</v>
      </c>
      <c r="K79" s="207">
        <f t="shared" si="51"/>
        <v>20300</v>
      </c>
      <c r="L79" s="208">
        <f>SUM(L59:L78)</f>
        <v>20706</v>
      </c>
      <c r="M79" s="209">
        <f t="shared" si="51"/>
        <v>21120.120000000003</v>
      </c>
      <c r="N79" s="207">
        <f t="shared" si="51"/>
        <v>0</v>
      </c>
      <c r="O79" s="207">
        <f t="shared" si="51"/>
        <v>0</v>
      </c>
      <c r="P79" s="209">
        <f t="shared" si="51"/>
        <v>0</v>
      </c>
    </row>
    <row r="80" spans="1:18" s="217" customFormat="1" x14ac:dyDescent="0.25">
      <c r="A80" s="210" t="s">
        <v>136</v>
      </c>
      <c r="B80" s="211">
        <f t="shared" ref="B80:P80" si="52">B3-B52-B57-B79</f>
        <v>-27045.280241487548</v>
      </c>
      <c r="C80" s="211">
        <f t="shared" si="52"/>
        <v>-146270.29755930742</v>
      </c>
      <c r="D80" s="211">
        <f t="shared" si="52"/>
        <v>-231710.92017008315</v>
      </c>
      <c r="E80" s="212">
        <f t="shared" si="52"/>
        <v>16406.78854400001</v>
      </c>
      <c r="F80" s="210">
        <f t="shared" si="52"/>
        <v>-36466.056485119974</v>
      </c>
      <c r="G80" s="213">
        <f t="shared" si="52"/>
        <v>-77371.400814822497</v>
      </c>
      <c r="H80" s="212">
        <f t="shared" si="52"/>
        <v>-56150.191185488016</v>
      </c>
      <c r="I80" s="210">
        <f t="shared" si="52"/>
        <v>-62675.08347418753</v>
      </c>
      <c r="J80" s="213">
        <f t="shared" si="52"/>
        <v>-65111.854132081964</v>
      </c>
      <c r="K80" s="212">
        <f t="shared" si="52"/>
        <v>11967</v>
      </c>
      <c r="L80" s="210">
        <f t="shared" si="52"/>
        <v>-51842.359999999986</v>
      </c>
      <c r="M80" s="213">
        <f t="shared" si="52"/>
        <v>-83227.029600000125</v>
      </c>
      <c r="N80" s="214">
        <f t="shared" si="52"/>
        <v>731.12239999999292</v>
      </c>
      <c r="O80" s="215">
        <f t="shared" si="52"/>
        <v>0</v>
      </c>
      <c r="P80" s="216">
        <f t="shared" si="52"/>
        <v>0</v>
      </c>
    </row>
    <row r="81" spans="1:16" s="223" customFormat="1" ht="15.75" customHeight="1" x14ac:dyDescent="0.25">
      <c r="A81" s="218" t="s">
        <v>137</v>
      </c>
      <c r="B81" s="219"/>
      <c r="C81" s="219"/>
      <c r="D81" s="219"/>
      <c r="E81" s="220"/>
      <c r="F81" s="221"/>
      <c r="G81" s="222"/>
      <c r="H81" s="220"/>
      <c r="I81" s="221"/>
      <c r="J81" s="222"/>
      <c r="K81" s="220"/>
      <c r="L81" s="221"/>
      <c r="M81" s="222"/>
      <c r="N81" s="220"/>
      <c r="O81" s="221"/>
      <c r="P81" s="222"/>
    </row>
    <row r="82" spans="1:16" s="223" customFormat="1" x14ac:dyDescent="0.25">
      <c r="A82" s="224" t="s">
        <v>139</v>
      </c>
      <c r="B82" s="161">
        <f t="shared" ref="B82:D86" si="53">SUM(E82+H82+K82+$N82+$O82+$P82)</f>
        <v>0</v>
      </c>
      <c r="C82" s="161">
        <f t="shared" si="53"/>
        <v>0</v>
      </c>
      <c r="D82" s="161">
        <f t="shared" si="53"/>
        <v>0</v>
      </c>
      <c r="E82" s="225"/>
      <c r="F82" s="226"/>
      <c r="G82" s="227"/>
      <c r="H82" s="228"/>
      <c r="I82" s="226"/>
      <c r="J82" s="227"/>
      <c r="K82" s="225"/>
      <c r="L82" s="226"/>
      <c r="M82" s="227"/>
      <c r="N82" s="225"/>
      <c r="O82" s="226"/>
      <c r="P82" s="229"/>
    </row>
    <row r="83" spans="1:16" s="223" customFormat="1" x14ac:dyDescent="0.25">
      <c r="A83" s="230" t="s">
        <v>193</v>
      </c>
      <c r="B83" s="161">
        <f t="shared" si="53"/>
        <v>0</v>
      </c>
      <c r="C83" s="161">
        <f t="shared" si="53"/>
        <v>0</v>
      </c>
      <c r="D83" s="161">
        <f t="shared" si="53"/>
        <v>0</v>
      </c>
      <c r="E83" s="225"/>
      <c r="F83" s="226"/>
      <c r="G83" s="227"/>
      <c r="H83" s="228"/>
      <c r="I83" s="226"/>
      <c r="J83" s="227"/>
      <c r="K83" s="225"/>
      <c r="L83" s="226"/>
      <c r="M83" s="227"/>
      <c r="N83" s="225"/>
      <c r="O83" s="226"/>
      <c r="P83" s="229"/>
    </row>
    <row r="84" spans="1:16" s="223" customFormat="1" x14ac:dyDescent="0.25">
      <c r="A84" s="230" t="s">
        <v>194</v>
      </c>
      <c r="B84" s="161">
        <f t="shared" si="53"/>
        <v>0</v>
      </c>
      <c r="C84" s="161">
        <f t="shared" si="53"/>
        <v>0</v>
      </c>
      <c r="D84" s="161">
        <f t="shared" si="53"/>
        <v>0</v>
      </c>
      <c r="E84" s="225"/>
      <c r="F84" s="226"/>
      <c r="G84" s="227"/>
      <c r="H84" s="228"/>
      <c r="I84" s="226"/>
      <c r="J84" s="227"/>
      <c r="K84" s="225"/>
      <c r="L84" s="226"/>
      <c r="M84" s="227"/>
      <c r="N84" s="225"/>
      <c r="O84" s="226"/>
      <c r="P84" s="229"/>
    </row>
    <row r="85" spans="1:16" s="223" customFormat="1" x14ac:dyDescent="0.25">
      <c r="A85" s="224" t="s">
        <v>152</v>
      </c>
      <c r="B85" s="161">
        <f t="shared" si="53"/>
        <v>0</v>
      </c>
      <c r="C85" s="161">
        <f t="shared" si="53"/>
        <v>0</v>
      </c>
      <c r="D85" s="161">
        <f t="shared" si="53"/>
        <v>0</v>
      </c>
      <c r="E85" s="225"/>
      <c r="F85" s="226"/>
      <c r="G85" s="227"/>
      <c r="H85" s="228"/>
      <c r="I85" s="226"/>
      <c r="J85" s="227"/>
      <c r="K85" s="225">
        <v>0</v>
      </c>
      <c r="L85" s="226"/>
      <c r="M85" s="227"/>
      <c r="N85" s="225"/>
      <c r="O85" s="226"/>
      <c r="P85" s="229"/>
    </row>
    <row r="86" spans="1:16" s="223" customFormat="1" x14ac:dyDescent="0.25">
      <c r="A86" s="231" t="s">
        <v>112</v>
      </c>
      <c r="B86" s="161">
        <f t="shared" si="53"/>
        <v>0</v>
      </c>
      <c r="C86" s="161">
        <f t="shared" si="53"/>
        <v>0</v>
      </c>
      <c r="D86" s="161">
        <f t="shared" si="53"/>
        <v>0</v>
      </c>
      <c r="E86" s="225"/>
      <c r="F86" s="226"/>
      <c r="G86" s="227"/>
      <c r="H86" s="228"/>
      <c r="I86" s="226"/>
      <c r="J86" s="227"/>
      <c r="K86" s="225"/>
      <c r="L86" s="226"/>
      <c r="M86" s="227"/>
      <c r="N86" s="225"/>
      <c r="O86" s="226"/>
      <c r="P86" s="229"/>
    </row>
    <row r="87" spans="1:16" s="223" customFormat="1" x14ac:dyDescent="0.25">
      <c r="A87" s="232" t="s">
        <v>153</v>
      </c>
      <c r="B87" s="233">
        <f>SUM(B82:B86)</f>
        <v>0</v>
      </c>
      <c r="C87" s="233">
        <f>SUM(C82:C86)</f>
        <v>0</v>
      </c>
      <c r="D87" s="233">
        <f>SUM(D82:D86)</f>
        <v>0</v>
      </c>
      <c r="E87" s="234">
        <f>SUM(E82:E86)</f>
        <v>0</v>
      </c>
      <c r="F87" s="235">
        <f t="shared" ref="F87:G87" si="54">$E87*(1+F$93)</f>
        <v>0</v>
      </c>
      <c r="G87" s="236">
        <f t="shared" si="54"/>
        <v>0</v>
      </c>
      <c r="H87" s="237">
        <f>SUM(H82:H86)</f>
        <v>0</v>
      </c>
      <c r="I87" s="238">
        <f>$H87*(1+I$93)</f>
        <v>0</v>
      </c>
      <c r="J87" s="239">
        <f>$H87*(1+J$93)</f>
        <v>0</v>
      </c>
      <c r="K87" s="234">
        <f>SUM(K82:K86)</f>
        <v>0</v>
      </c>
      <c r="L87" s="235">
        <f t="shared" ref="L87:M87" si="55">$E87*(1+L$93)</f>
        <v>0</v>
      </c>
      <c r="M87" s="236">
        <f t="shared" si="55"/>
        <v>0</v>
      </c>
      <c r="N87" s="234">
        <f>SUM(N82:N86)</f>
        <v>0</v>
      </c>
      <c r="O87" s="235">
        <f>SUM(O82:O86)</f>
        <v>0</v>
      </c>
      <c r="P87" s="236">
        <f>SUM(P82:P86)</f>
        <v>0</v>
      </c>
    </row>
    <row r="88" spans="1:16" s="223" customFormat="1" ht="15.75" thickBot="1" x14ac:dyDescent="0.3">
      <c r="A88" s="240" t="s">
        <v>154</v>
      </c>
      <c r="B88" s="241">
        <f>+B80-B87</f>
        <v>-27045.280241487548</v>
      </c>
      <c r="C88" s="241">
        <f>+C80-C87</f>
        <v>-146270.29755930742</v>
      </c>
      <c r="D88" s="241">
        <f>+D80-D87</f>
        <v>-231710.92017008315</v>
      </c>
      <c r="E88" s="242">
        <f>+E80-E87</f>
        <v>16406.78854400001</v>
      </c>
      <c r="F88" s="243">
        <f t="shared" ref="F88:G88" si="56">+F80-F87</f>
        <v>-36466.056485119974</v>
      </c>
      <c r="G88" s="244">
        <f t="shared" si="56"/>
        <v>-77371.400814822497</v>
      </c>
      <c r="H88" s="242">
        <f>+H80-H87</f>
        <v>-56150.191185488016</v>
      </c>
      <c r="I88" s="243">
        <f t="shared" ref="I88:J88" si="57">+I80-I87</f>
        <v>-62675.08347418753</v>
      </c>
      <c r="J88" s="244">
        <f t="shared" si="57"/>
        <v>-65111.854132081964</v>
      </c>
      <c r="K88" s="242">
        <f>+K80-K87</f>
        <v>11967</v>
      </c>
      <c r="L88" s="243">
        <f>+L80-L87</f>
        <v>-51842.359999999986</v>
      </c>
      <c r="M88" s="244">
        <f t="shared" ref="M88" si="58">+M80-M87</f>
        <v>-83227.029600000125</v>
      </c>
      <c r="N88" s="242">
        <f>+N80-N87</f>
        <v>731.12239999999292</v>
      </c>
      <c r="O88" s="243">
        <f>+O80-O87</f>
        <v>0</v>
      </c>
      <c r="P88" s="244">
        <f>+P80-P87</f>
        <v>0</v>
      </c>
    </row>
    <row r="89" spans="1:16" ht="15.75" thickTop="1" x14ac:dyDescent="0.25">
      <c r="A89" s="4" t="s">
        <v>195</v>
      </c>
    </row>
    <row r="90" spans="1:16" x14ac:dyDescent="0.25">
      <c r="A90" s="3" t="s">
        <v>196</v>
      </c>
    </row>
    <row r="91" spans="1:16" x14ac:dyDescent="0.25">
      <c r="A91" s="3"/>
    </row>
    <row r="92" spans="1:16" x14ac:dyDescent="0.25">
      <c r="A92" s="4" t="s">
        <v>197</v>
      </c>
      <c r="E92" s="246">
        <v>0</v>
      </c>
      <c r="F92" s="246">
        <v>0</v>
      </c>
      <c r="G92" s="246">
        <v>0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246">
        <v>0</v>
      </c>
      <c r="N92" s="246">
        <v>0</v>
      </c>
      <c r="O92" s="246"/>
      <c r="P92" s="246"/>
    </row>
    <row r="93" spans="1:16" x14ac:dyDescent="0.25">
      <c r="A93" s="4" t="s">
        <v>198</v>
      </c>
      <c r="E93" s="246">
        <v>0</v>
      </c>
      <c r="F93" s="246">
        <v>0.02</v>
      </c>
      <c r="G93" s="246">
        <v>0.02</v>
      </c>
      <c r="H93" s="246">
        <v>0</v>
      </c>
      <c r="I93" s="246">
        <v>0.02</v>
      </c>
      <c r="J93" s="246">
        <v>0.02</v>
      </c>
      <c r="K93" s="246">
        <v>0</v>
      </c>
      <c r="L93" s="246">
        <v>0.02</v>
      </c>
      <c r="M93" s="246">
        <v>0.02</v>
      </c>
      <c r="N93" s="246">
        <v>0</v>
      </c>
      <c r="O93" s="246"/>
      <c r="P93" s="246"/>
    </row>
    <row r="94" spans="1:16" x14ac:dyDescent="0.25">
      <c r="A94" s="4" t="s">
        <v>199</v>
      </c>
      <c r="E94" s="246">
        <v>0</v>
      </c>
      <c r="F94" s="246">
        <v>0.04</v>
      </c>
      <c r="G94" s="246">
        <v>0.04</v>
      </c>
      <c r="H94" s="246">
        <v>0</v>
      </c>
      <c r="I94" s="246">
        <v>0.04</v>
      </c>
      <c r="J94" s="246">
        <v>0.04</v>
      </c>
      <c r="K94" s="246">
        <v>0</v>
      </c>
      <c r="L94" s="246">
        <v>0.04</v>
      </c>
      <c r="M94" s="246">
        <v>0.04</v>
      </c>
      <c r="N94" s="246">
        <v>0</v>
      </c>
      <c r="O94" s="246"/>
      <c r="P94" s="246"/>
    </row>
  </sheetData>
  <mergeCells count="3">
    <mergeCell ref="E1:G1"/>
    <mergeCell ref="H1:J1"/>
    <mergeCell ref="K1:M1"/>
  </mergeCells>
  <pageMargins left="0.7" right="0.7" top="0.75" bottom="0.75" header="0.3" footer="0.3"/>
  <pageSetup scale="60" fitToHeight="0" orientation="landscape" r:id="rId1"/>
  <headerFooter>
    <oddFooter>&amp;L&amp;F&amp;CPage &amp;P of &amp;N&amp;R&amp;D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A8320CC06A943BB1200C3B54D08E5" ma:contentTypeVersion="7" ma:contentTypeDescription="Create a new document." ma:contentTypeScope="" ma:versionID="6bd6b7fbb68968ed77ac1fd4fe085355">
  <xsd:schema xmlns:xsd="http://www.w3.org/2001/XMLSchema" xmlns:xs="http://www.w3.org/2001/XMLSchema" xmlns:p="http://schemas.microsoft.com/office/2006/metadata/properties" xmlns:ns3="62df9482-a586-4fb1-8838-828ed2558ac5" xmlns:ns4="03620102-f8b8-4af5-a862-84ec5c4f4091" targetNamespace="http://schemas.microsoft.com/office/2006/metadata/properties" ma:root="true" ma:fieldsID="3c3927ef6360f3a50200a9b4973d62b1" ns3:_="" ns4:_="">
    <xsd:import namespace="62df9482-a586-4fb1-8838-828ed2558ac5"/>
    <xsd:import namespace="03620102-f8b8-4af5-a862-84ec5c4f40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f9482-a586-4fb1-8838-828ed2558a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20102-f8b8-4af5-a862-84ec5c4f4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313FFE-9D4C-468D-8114-EABC8F96B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f9482-a586-4fb1-8838-828ed2558ac5"/>
    <ds:schemaRef ds:uri="03620102-f8b8-4af5-a862-84ec5c4f4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371FF-AC83-4211-9C82-3CB35AF524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91A1C-3CB3-4083-8348-974E841FC778}">
  <ds:schemaRefs>
    <ds:schemaRef ds:uri="http://purl.org/dc/elements/1.1/"/>
    <ds:schemaRef ds:uri="62df9482-a586-4fb1-8838-828ed2558ac5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3620102-f8b8-4af5-a862-84ec5c4f40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FY19 to FY22</vt:lpstr>
      <vt:lpstr>NOTES</vt:lpstr>
      <vt:lpstr>FY16 Projections detail</vt:lpstr>
      <vt:lpstr>FY17-18 Projections Summaries</vt:lpstr>
      <vt:lpstr>'FY19 to FY22'!Print_Area</vt:lpstr>
      <vt:lpstr>'FY16 Projections detail'!Print_Titles</vt:lpstr>
      <vt:lpstr>'FY17-18 Projections Summaries'!Print_Titles</vt:lpstr>
    </vt:vector>
  </TitlesOfParts>
  <Company>U.S. Fish &amp;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mjhartley</dc:creator>
  <cp:lastModifiedBy>aweldon</cp:lastModifiedBy>
  <cp:lastPrinted>2017-08-24T17:52:59Z</cp:lastPrinted>
  <dcterms:created xsi:type="dcterms:W3CDTF">2012-05-07T17:47:59Z</dcterms:created>
  <dcterms:modified xsi:type="dcterms:W3CDTF">2020-04-01T12:32:03Z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0x01010074AA8320CC06A943BB1200C3B54D08E5</vt:lpwstr>
  </property>
</Properties>
</file>